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7335" windowWidth="8760" windowHeight="3825" activeTab="0"/>
  </bookViews>
  <sheets>
    <sheet name="2014..2015..2016..2017" sheetId="1" r:id="rId1"/>
  </sheets>
  <definedNames>
    <definedName name="_xlnm.Print_Area" localSheetId="0">'2014..2015..2016..2017'!$A:$C</definedName>
  </definedNames>
  <calcPr fullCalcOnLoad="1"/>
</workbook>
</file>

<file path=xl/comments1.xml><?xml version="1.0" encoding="utf-8"?>
<comments xmlns="http://schemas.openxmlformats.org/spreadsheetml/2006/main">
  <authors>
    <author>Antra</author>
  </authors>
  <commentList>
    <comment ref="D92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Mērķdotācijas pedagogu atlīdzībai un speciālo izglītības iestāžu uzturēšanai
</t>
        </r>
      </text>
    </comment>
    <comment ref="D93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NVA projekta"Algotie pagaidu sabiedriskie darbi pašvaldībās" ieņēmumi</t>
        </r>
      </text>
    </comment>
    <comment ref="D94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2013.gada PFIF pārdale</t>
        </r>
      </text>
    </comment>
    <comment ref="D95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Samazināti brīvpusdienu ieņēmumi 1-2.klasei(ieskaitīti decembrī)</t>
        </r>
      </text>
    </comment>
    <comment ref="D15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IIN pārdale par 2013.gadu</t>
        </r>
      </text>
    </comment>
    <comment ref="D98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Asignētās mērķdotācijas izglītības iestādēm</t>
        </r>
      </text>
    </comment>
    <comment ref="D137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Naudas atlikuma izmaiņas uz gada sākumu</t>
        </r>
      </text>
    </comment>
    <comment ref="D138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Naudas atlikuma izmaiņas uz gada beigām</t>
        </r>
      </text>
    </comment>
    <comment ref="D140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PII Ābelīte rekonstrukcijas neizņemtais kredīts</t>
        </r>
      </text>
    </comment>
    <comment ref="D141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Snēpeles ūdenssaimniecības kredīta atmaksa</t>
        </r>
      </text>
    </comment>
  </commentList>
</comments>
</file>

<file path=xl/sharedStrings.xml><?xml version="1.0" encoding="utf-8"?>
<sst xmlns="http://schemas.openxmlformats.org/spreadsheetml/2006/main" count="307" uniqueCount="292">
  <si>
    <t>II.</t>
  </si>
  <si>
    <t>IZDEVUMI KOPĀ</t>
  </si>
  <si>
    <t>I.</t>
  </si>
  <si>
    <t>IV.</t>
  </si>
  <si>
    <t>IEŅĒMUMU PĀRSNIEGUMS (+), DEFICĪTS (-) (I.-II.)</t>
  </si>
  <si>
    <t>FINANSĒŠANA</t>
  </si>
  <si>
    <t>IEŅĒMUMI KOPĀ</t>
  </si>
  <si>
    <t/>
  </si>
  <si>
    <t>Izdevumi atbilstoši funkcionālajām kategorijām</t>
  </si>
  <si>
    <t>Izdevumi atbilstoši ekonomiskajām kategorijām</t>
  </si>
  <si>
    <t>1.0.</t>
  </si>
  <si>
    <t>Nodokļu ieņēmumi</t>
  </si>
  <si>
    <t>1.0.0.0.</t>
  </si>
  <si>
    <t>Ienākuma nodokļi</t>
  </si>
  <si>
    <t>1.1.</t>
  </si>
  <si>
    <t>Ieņēmumi no iedzīvotāju ienākuma nodokļa</t>
  </si>
  <si>
    <t>1.1.0.0.</t>
  </si>
  <si>
    <t>1.1.1.0.</t>
  </si>
  <si>
    <t>Iedzīvotāju ienākuma nodoklis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</si>
  <si>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</si>
  <si>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</si>
  <si>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</si>
  <si>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gadā ieskaitītais iedzīvotāju ienākuma nodoklis</t>
  </si>
  <si>
    <t>1.4.</t>
  </si>
  <si>
    <t>Īpašuma nodokļi</t>
  </si>
  <si>
    <t>4.0.0.0.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</si>
  <si>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</si>
  <si>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</si>
  <si>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</si>
  <si>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</si>
  <si>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</si>
  <si>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</si>
  <si>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</si>
  <si>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</si>
  <si>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</si>
  <si>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</si>
  <si>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</si>
  <si>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kārtējā gada maksājumi</t>
  </si>
  <si>
    <t>4.1.2.2.</t>
  </si>
  <si>
    <t>Nekustamā īpašuma nodokļa par ēkām parādi par iepriekšējiem gadiem</t>
  </si>
  <si>
    <t>4.1.3.0.</t>
  </si>
  <si>
    <t>Nekustamā īpašuma nodoklis par mājokļiem</t>
  </si>
  <si>
    <t>4.1.3.1.</t>
  </si>
  <si>
    <t>Nekustamā īpašuma nodokļa par mājokļiem kārtējā saimnieciskā gada ieņēmumi</t>
  </si>
  <si>
    <t>4.1.3.2.</t>
  </si>
  <si>
    <t>Nekustamā īpašuma nodokļa par mājokļiem parādi par iepriekšējiem gadiem</t>
  </si>
  <si>
    <t>5.0.0.0.</t>
  </si>
  <si>
    <t>Nodokļi par pakalpojumiem un precēm</t>
  </si>
  <si>
    <t>Nodokļi atsevišķām precēm un pakalpojumu veidiem</t>
  </si>
  <si>
    <t>5.4.0.0.</t>
  </si>
  <si>
    <t>5.4.1.0.</t>
  </si>
  <si>
    <t>Azartspēļu nodoklis</t>
  </si>
  <si>
    <t>2.0.</t>
  </si>
  <si>
    <t>Nenodokļu ieņēmumi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</si>
  <si>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</si>
  <si>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</si>
  <si>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</si>
  <si>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</si>
  <si>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8.6.2.0.</t>
  </si>
  <si>
    <t>Procentu ieņēmumi par kontu atlikumiem</t>
  </si>
  <si>
    <t>9.0.0.0.</t>
  </si>
  <si>
    <t>Valsts (pašvaldību) nodevas un kancelejas nodevas</t>
  </si>
  <si>
    <t>9.4.0.0.</t>
  </si>
  <si>
    <t>Valsts nodevas, kuras ieskaita pašvaldību budžetā</t>
  </si>
  <si>
    <t>9.4.2.0.</t>
  </si>
  <si>
    <t>Valsts nodeva par apliecinājumiem un citu funkciju pildīšanu bāriņtiesās</t>
  </si>
  <si>
    <t>9.4.3.0.</t>
  </si>
  <si>
    <t>Valsts nodeva par uzvārda, vārda un tautības ieraksta maiņu personu apliecinošos dokumentos</t>
  </si>
  <si>
    <t>9.4.5.0.</t>
  </si>
  <si>
    <t>Valsts nodeva par civilstāvokļa aktu reģistrēšanu, grozīšanu un papildināšanu</t>
  </si>
  <si>
    <t>9.4.6.0.</t>
  </si>
  <si>
    <t>Valsts nodeva par speciālu atļauju (licenču) izsniegšanu</t>
  </si>
  <si>
    <t>9.4.9.0.</t>
  </si>
  <si>
    <t>Pārējās valsts nodevas, kuras ieskaita pašvaldību budžetā</t>
  </si>
  <si>
    <t>9.5.0.0.</t>
  </si>
  <si>
    <t>Pašvaldību nodevas (no 9511 līdz 9519, no 9521 līdz 9529)</t>
  </si>
  <si>
    <t>9.5.1.1.</t>
  </si>
  <si>
    <t>Pašvaldības nodeva par domes izstrādāto oficiālo dokumentu un apliecinātu to kopiju saņemšanu</t>
  </si>
  <si>
    <t>9.5.1.4.</t>
  </si>
  <si>
    <t>Pašvaldības nodeva par tirdzniecību publiskās vietās</t>
  </si>
  <si>
    <t>9.5.1.5.</t>
  </si>
  <si>
    <t>Pašvaldības nodeva par dzīvnieku turēšanu</t>
  </si>
  <si>
    <t>9.5.1.7.</t>
  </si>
  <si>
    <t>Pašvaldības nodeva par reklāmas, afišu un sludinājumu izvietošanu publiskās vietās</t>
  </si>
  <si>
    <t>9.5.2.1.</t>
  </si>
  <si>
    <t>Pašvaldības nodeva par būvatļaujas saņemšanu</t>
  </si>
  <si>
    <t>9.5.2.9.</t>
  </si>
  <si>
    <t>Pārējās nodevas, ko uzliek pašvaldības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</si>
  <si>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</si>
  <si>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</si>
  <si>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</si>
  <si>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</si>
  <si>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</si>
  <si>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</si>
  <si>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</si>
  <si>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</si>
  <si>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21 346</t>
  </si>
  <si>
    <t>12.3.0.0.</t>
  </si>
  <si>
    <t>Dažādi nenodokļu ieņēmumi</t>
  </si>
  <si>
    <t>12.3.9.0.</t>
  </si>
  <si>
    <t>Citi dažādi nenodokļu ieņēmumi</t>
  </si>
  <si>
    <t>12.3.9.2.</t>
  </si>
  <si>
    <t>Maksājumi par konkursa vai izsoles nolikumu</t>
  </si>
  <si>
    <t>12.3.9.9.</t>
  </si>
  <si>
    <t>Pārējie dažādi nenodokļu ieņēmumi, kas nav iepriekš klasificēti šajā klasifikācijā</t>
  </si>
  <si>
    <t>13.0.0.0.</t>
  </si>
  <si>
    <t>Ieņēmumi no valsts (pašvaldību) īpašuma iznomāšanas,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</si>
  <si>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</si>
  <si>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</si>
  <si>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</si>
  <si>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</si>
  <si>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13.4.0.0.</t>
  </si>
  <si>
    <t>Ieņēmumi no valsts un pašvaldību kustamā īpašuma un mantas realizācijas // Ieņēmumi no pašvaldību kustamā īpašuma un mantas realizācijas</t>
  </si>
  <si>
    <t>13.5.0.0.</t>
  </si>
  <si>
    <t>Ieņēmumi no valsts un pašvaldību īpašuma iznomāšanas</t>
  </si>
  <si>
    <t>4 268</t>
  </si>
  <si>
    <t>3.0.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</si>
  <si>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</si>
  <si>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</si>
  <si>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</si>
  <si>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</si>
  <si>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</si>
  <si>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287 507</t>
  </si>
  <si>
    <t>21.3.5.2.</t>
  </si>
  <si>
    <t>Ieņēmumi no vecāku maksām</t>
  </si>
  <si>
    <t>231 322</t>
  </si>
  <si>
    <t>21.3.5.9.</t>
  </si>
  <si>
    <t>Pārējie ieņēmumi par izglītības pakalpojumiem</t>
  </si>
  <si>
    <t>56 185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</si>
  <si>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</si>
  <si>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</si>
  <si>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</si>
  <si>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</si>
  <si>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</si>
  <si>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</si>
  <si>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</si>
  <si>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telpu nomu</t>
  </si>
  <si>
    <t>21.3.8.2.</t>
  </si>
  <si>
    <t>Ieņēmumi par viesnīcu pakalpojumiem</t>
  </si>
  <si>
    <t>21.3.8.3.</t>
  </si>
  <si>
    <t>Ieņēmumi no kustamā īpašuma iznomāšanas</t>
  </si>
  <si>
    <t>1 210</t>
  </si>
  <si>
    <t>21.3.8.4.</t>
  </si>
  <si>
    <t>Ieņēmumi par zemes nomu</t>
  </si>
  <si>
    <t>21.3.8.9.</t>
  </si>
  <si>
    <t>Pārējie ieņēmumi par nomu un īri</t>
  </si>
  <si>
    <t>1 094</t>
  </si>
  <si>
    <t>21.3.9.0.</t>
  </si>
  <si>
    <t>Ieņēmumi par pārējiem budžeta iestāžu sniegtajiem maksas pakalpojumiem</t>
  </si>
  <si>
    <t>21.3.9.1.</t>
  </si>
  <si>
    <t>Maksa par personu uzturēšanos sociālās aprūpes iestādēs</t>
  </si>
  <si>
    <t>170 950</t>
  </si>
  <si>
    <t>21.3.9.3.</t>
  </si>
  <si>
    <t>Ieņēmumi par biļešu realizāciju</t>
  </si>
  <si>
    <t>59 190</t>
  </si>
  <si>
    <t>21.3.9.4.</t>
  </si>
  <si>
    <t>Ieņēmumi par dzīvokļu un komunālajiem pakalpojumiem</t>
  </si>
  <si>
    <t>160 687</t>
  </si>
  <si>
    <t>21.3.9.9.</t>
  </si>
  <si>
    <t>Citi ieņēmumi par maksas pakalpojumiem</t>
  </si>
  <si>
    <t>21.4.0.0.</t>
  </si>
  <si>
    <t>Pārējie 21.3.0.0.grupā neklasificētie budžeta iestāžu ieņēmumi par budžeta iestāžu sniegtajiem maksas pakalpojumiem un citi pašu ieņēmumi</t>
  </si>
  <si>
    <t>4 737</t>
  </si>
  <si>
    <t>21.4.9.0.</t>
  </si>
  <si>
    <t>Citi iepriekš neklasificētie pašu ieņēmumi</t>
  </si>
  <si>
    <t>21.4.9.9.</t>
  </si>
  <si>
    <t>Pārējie iepriekš neklasificētie pašu ieņēmumi</t>
  </si>
  <si>
    <t>5.0.</t>
  </si>
  <si>
    <t>Transferti</t>
  </si>
  <si>
    <t>18.0.0.0.</t>
  </si>
  <si>
    <t>Valsts budžeta transferti</t>
  </si>
  <si>
    <t>18.6.0.0.</t>
  </si>
  <si>
    <t>Pašvaldību saņemtie transferti no valsts budžeta</t>
  </si>
  <si>
    <t>18.6.2.0.</t>
  </si>
  <si>
    <t>Pašvaldību saņemtie valsts budžeta transferti noteiktam mērķim</t>
  </si>
  <si>
    <t>18.6.3.0.</t>
  </si>
  <si>
    <t>Pašvaldību no valsts budžeta iestādēm saņemtie transferti Eiropas Savienības politiku instrumentu un pārējās ārvalstu finanšu palīdzības līdzfinansētajiem projektiem (pasākumiem)</t>
  </si>
  <si>
    <t>22 278</t>
  </si>
  <si>
    <t>18.6.4.0.</t>
  </si>
  <si>
    <t>Pašvaldību budžetā saņemtā dotācija no pašvaldību finanšu izlīdzināšanas fonda</t>
  </si>
  <si>
    <t>18.6.9.0.</t>
  </si>
  <si>
    <t>Pārējie pašvaldību saņemtie valsts budžeta iestāžu transferti</t>
  </si>
  <si>
    <t>19.0.0.0.</t>
  </si>
  <si>
    <t>Pašvaldību budžetu transferti</t>
  </si>
  <si>
    <t>19.2.0.0.</t>
  </si>
  <si>
    <t>Pašvaldību saņemtie transferti no citām pašvaldībām</t>
  </si>
  <si>
    <t>04.000</t>
  </si>
  <si>
    <t>Ekonomiskā darbība</t>
  </si>
  <si>
    <t>131 300</t>
  </si>
  <si>
    <t>09.000</t>
  </si>
  <si>
    <t>Izglītība</t>
  </si>
  <si>
    <t>08.000</t>
  </si>
  <si>
    <t>Atpūta, kultūra un reliģija</t>
  </si>
  <si>
    <t>07.000</t>
  </si>
  <si>
    <t>Veselība</t>
  </si>
  <si>
    <t>22 035</t>
  </si>
  <si>
    <t>01.000</t>
  </si>
  <si>
    <t>Vispārējie valdības dienesti</t>
  </si>
  <si>
    <t>10.000</t>
  </si>
  <si>
    <t>Sociālā aizsardzība</t>
  </si>
  <si>
    <t>03.000</t>
  </si>
  <si>
    <t>Sabiedriskā kārtība un drošība</t>
  </si>
  <si>
    <t>06.000</t>
  </si>
  <si>
    <t>Teritoriju un mājokļu apsaimniekošana</t>
  </si>
  <si>
    <t>Uzturēšanas izdevumi</t>
  </si>
  <si>
    <t>Kārtējie izdevumi (1000+2000)</t>
  </si>
  <si>
    <t>1000</t>
  </si>
  <si>
    <t>Atlīdzība</t>
  </si>
  <si>
    <t>1100</t>
  </si>
  <si>
    <t>Atalgojums</t>
  </si>
  <si>
    <t>1200</t>
  </si>
  <si>
    <t>Darba devēja valsts sociālās apdrošināšanas obligātās iemaksas,  pabalsti un kompensācijas</t>
  </si>
  <si>
    <t>2000</t>
  </si>
  <si>
    <t>Preces un pakalpojumi</t>
  </si>
  <si>
    <t>2100</t>
  </si>
  <si>
    <t>Mācību, darba un dienesta komandējumi, dienesta, darba braucieni</t>
  </si>
  <si>
    <t>2200</t>
  </si>
  <si>
    <t>Pakalpojumi</t>
  </si>
  <si>
    <t>2300</t>
  </si>
  <si>
    <t>Krājumi, materiāli, energoresursi, preces, biroja preces un inventārs, kurus neuzskaita kodā 5000</t>
  </si>
  <si>
    <t>2400</t>
  </si>
  <si>
    <t>Izdevumi periodikas iegādei</t>
  </si>
  <si>
    <t>2500</t>
  </si>
  <si>
    <t>Budžeta iestāžu nodokļu, nodevu un naudas sodu maksājumi // Budžeta iestāžu nodokļu maksājumi</t>
  </si>
  <si>
    <t>Procentu izdevumi</t>
  </si>
  <si>
    <t>4000</t>
  </si>
  <si>
    <t>4200</t>
  </si>
  <si>
    <t>Procentu maksājumi iekšzemes kredītiestādēm</t>
  </si>
  <si>
    <t>4300</t>
  </si>
  <si>
    <t>Pārējie procentu maksājumi</t>
  </si>
  <si>
    <t>6000</t>
  </si>
  <si>
    <t>Sociālie pabalsti</t>
  </si>
  <si>
    <t>6200</t>
  </si>
  <si>
    <t>Pensijas un sociālie pabalsti naudā</t>
  </si>
  <si>
    <t>6400</t>
  </si>
  <si>
    <t>Pārējie klasifikācijā neminētie maksājumi iedzīvotājiem natūrā un kompensācijas</t>
  </si>
  <si>
    <t>7000</t>
  </si>
  <si>
    <t>Uzturēšanas izdevumu transferti, pašu resursu maksājumi, starptautiskā sadarbība</t>
  </si>
  <si>
    <t>7200</t>
  </si>
  <si>
    <t>Pašvaldību uzturēšanas izdevumu transferti</t>
  </si>
  <si>
    <t>Kapitālie izdevumi (5000+9000)</t>
  </si>
  <si>
    <t>Pamatkapitāla veidošana</t>
  </si>
  <si>
    <t>5000</t>
  </si>
  <si>
    <t>5100</t>
  </si>
  <si>
    <t>Nemateriālie ieguldījumi</t>
  </si>
  <si>
    <t>5200</t>
  </si>
  <si>
    <t>Pamatlīdzekļi</t>
  </si>
  <si>
    <t>III</t>
  </si>
  <si>
    <t>F20010000</t>
  </si>
  <si>
    <t>Naudas līdzekļi un noguldījumi</t>
  </si>
  <si>
    <t>NL SAK</t>
  </si>
  <si>
    <t>NL atlikums gada sākumā</t>
  </si>
  <si>
    <t>NL BEI</t>
  </si>
  <si>
    <t>NL atlikums gada beigās</t>
  </si>
  <si>
    <t>F40020000</t>
  </si>
  <si>
    <t>Aizņēmumi</t>
  </si>
  <si>
    <t>F4002 SAN</t>
  </si>
  <si>
    <t>Aizņēmumu saņemšana</t>
  </si>
  <si>
    <t>F4002 ATM</t>
  </si>
  <si>
    <t>Aizņēmumu atmaksa</t>
  </si>
  <si>
    <t>F50010000</t>
  </si>
  <si>
    <t>6 000</t>
  </si>
  <si>
    <t>F5001 PARD</t>
  </si>
  <si>
    <t>Pārdots</t>
  </si>
  <si>
    <t>Noguldījumi</t>
  </si>
  <si>
    <t>Sākotnējais
apstiprinātais
 budžets EUR</t>
  </si>
  <si>
    <t>PIELIKUMS Nr.1</t>
  </si>
  <si>
    <t>APSTIPRINĀTS AR KULDĪGAS NOVADA DOMES SĒDES LĒMUMU 19.12.2013 /prot.nr.17,p.30/</t>
  </si>
  <si>
    <t>Grozījumi 30.01.2014</t>
  </si>
  <si>
    <t>APSTIPRINĀTS AR KULDĪGAS NOVADA DOMES SĒDES LĒMUMU 30.01.2014 /prot.nr....,p..../</t>
  </si>
  <si>
    <t>Plāns 2014.GADAM</t>
  </si>
  <si>
    <t>Plāns 2015.GADAM</t>
  </si>
  <si>
    <t>APSTIPRINĀTS AR KULDĪGAS NOVADA DOMES SĒDES LĒMUMU 29.01.2015 /prot.nr....,p..../</t>
  </si>
  <si>
    <t>6300</t>
  </si>
  <si>
    <t>Sociālie pabalsti natūrā</t>
  </si>
  <si>
    <t>Plāns 2016.GADAM</t>
  </si>
  <si>
    <t>APSTIPRINĀTS AR KULDĪGAS NOVADA DOMES SĒDES LĒMUMU 29.12.2015 /prot.nr....,p..../</t>
  </si>
  <si>
    <t>Plāns 2017.GADAM</t>
  </si>
  <si>
    <t>KULDĪGAS NOVADA PAŠVALDĪBAS KONSOLIDĒTAIS PAMATBUDŽETA IEŅĒMUMU UN IZDEVUMU PLĀNS 2017.GADAM</t>
  </si>
  <si>
    <t>12.2.0.0</t>
  </si>
  <si>
    <t>12.2.4.0</t>
  </si>
  <si>
    <t>Nenodokļu ieņēmumi no zaudējumu atlīdzības un kompensācijām</t>
  </si>
  <si>
    <t>Ieņēmumi no ūdenstilpju un zvejas tiesību nomas un zvejas tiesību nerūpnieciskās izmantošanas</t>
  </si>
  <si>
    <t>12.3.9.3.</t>
  </si>
  <si>
    <t>Piedzītie un labprātīgi atmaksātie līdzekļi</t>
  </si>
  <si>
    <t>8.6.4.0.</t>
  </si>
  <si>
    <t>Procentu ieņēmumi par atlikto maksājumu no vēl nesamaksātās pirkuma maksas daļas</t>
  </si>
  <si>
    <t>12.3.9.1.</t>
  </si>
  <si>
    <t>Ieņēmumi no projektiem</t>
  </si>
  <si>
    <t>19.2.1.0.</t>
  </si>
  <si>
    <t>Ieņēmumi izglītības funkcijas nodrošināšanai</t>
  </si>
  <si>
    <t>APSTIPRINĀTS AR KULDĪGAS NOVADA DOMES SĒDES LĒMUMU 26.01.2017 /prot.nr....,p..../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</si>
</sst>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theme="3" tint="-0.24997000396251678"/>
      <name val="Times New Roman"/>
      <family val="1"/>
    </font>
    <font>
      <b/>
      <i/>
      <sz val="11"/>
      <color theme="3" tint="-0.24997000396251678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54" fillId="0" borderId="10" xfId="0" applyFont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7" fillId="0" borderId="10" xfId="0" applyNumberFormat="1" applyFont="1" applyFill="1" applyBorder="1" applyAlignment="1">
      <alignment horizontal="center"/>
    </xf>
    <xf numFmtId="3" fontId="58" fillId="0" borderId="10" xfId="0" applyNumberFormat="1" applyFont="1" applyFill="1" applyBorder="1" applyAlignment="1">
      <alignment horizontal="center"/>
    </xf>
    <xf numFmtId="3" fontId="59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showGridLines="0" tabSelected="1" zoomScalePageLayoutView="0" workbookViewId="0" topLeftCell="A115">
      <selection activeCell="G112" sqref="G112"/>
    </sheetView>
  </sheetViews>
  <sheetFormatPr defaultColWidth="9.140625" defaultRowHeight="12.75"/>
  <cols>
    <col min="1" max="1" width="11.00390625" style="0" customWidth="1"/>
    <col min="2" max="2" width="45.7109375" style="0" customWidth="1"/>
    <col min="3" max="3" width="18.8515625" style="30" hidden="1" customWidth="1"/>
    <col min="4" max="4" width="12.00390625" style="8" hidden="1" customWidth="1"/>
    <col min="5" max="5" width="0.13671875" style="8" customWidth="1"/>
    <col min="6" max="8" width="15.8515625" style="8" customWidth="1"/>
    <col min="9" max="13" width="6.421875" style="8" customWidth="1"/>
    <col min="14" max="14" width="3.8515625" style="8" customWidth="1"/>
    <col min="15" max="19" width="9.140625" style="8" customWidth="1"/>
  </cols>
  <sheetData>
    <row r="1" spans="1:3" ht="38.25" customHeight="1" hidden="1">
      <c r="A1" s="7"/>
      <c r="B1" s="7"/>
      <c r="C1" s="29"/>
    </row>
    <row r="2" spans="1:8" ht="38.25" customHeight="1">
      <c r="A2" s="7"/>
      <c r="B2" s="7"/>
      <c r="C2" s="28" t="s">
        <v>266</v>
      </c>
      <c r="E2" s="28" t="s">
        <v>266</v>
      </c>
      <c r="F2" s="28" t="s">
        <v>266</v>
      </c>
      <c r="G2" s="28" t="s">
        <v>266</v>
      </c>
      <c r="H2" s="28" t="s">
        <v>266</v>
      </c>
    </row>
    <row r="3" spans="1:8" ht="62.25" customHeight="1">
      <c r="A3" s="7"/>
      <c r="B3" s="26" t="s">
        <v>278</v>
      </c>
      <c r="C3" s="37" t="s">
        <v>267</v>
      </c>
      <c r="E3" s="38" t="s">
        <v>269</v>
      </c>
      <c r="F3" s="38" t="s">
        <v>272</v>
      </c>
      <c r="G3" s="38" t="s">
        <v>276</v>
      </c>
      <c r="H3" s="38" t="s">
        <v>291</v>
      </c>
    </row>
    <row r="4" spans="1:2" ht="15" customHeight="1">
      <c r="A4" s="7"/>
      <c r="B4" s="19"/>
    </row>
    <row r="5" spans="1:3" ht="15" customHeight="1" hidden="1">
      <c r="A5" s="7"/>
      <c r="B5" s="7"/>
      <c r="C5" s="29"/>
    </row>
    <row r="6" spans="1:3" ht="15" customHeight="1" hidden="1">
      <c r="A6" s="6"/>
      <c r="B6" s="6"/>
      <c r="C6" s="31"/>
    </row>
    <row r="7" spans="1:3" ht="15">
      <c r="A7" s="1"/>
      <c r="B7" s="2"/>
      <c r="C7" s="32"/>
    </row>
    <row r="8" spans="1:8" ht="62.25" customHeight="1">
      <c r="A8" s="39"/>
      <c r="B8" s="40"/>
      <c r="C8" s="27" t="s">
        <v>265</v>
      </c>
      <c r="D8" s="27" t="s">
        <v>268</v>
      </c>
      <c r="E8" s="27" t="s">
        <v>270</v>
      </c>
      <c r="F8" s="27" t="s">
        <v>271</v>
      </c>
      <c r="G8" s="27" t="s">
        <v>275</v>
      </c>
      <c r="H8" s="27" t="s">
        <v>277</v>
      </c>
    </row>
    <row r="9" spans="1:19" s="13" customFormat="1" ht="14.25">
      <c r="A9" s="16" t="s">
        <v>2</v>
      </c>
      <c r="B9" s="17" t="s">
        <v>6</v>
      </c>
      <c r="C9" s="33" t="e">
        <f>C10+C32+C68+C89</f>
        <v>#REF!</v>
      </c>
      <c r="D9" s="33" t="e">
        <f>D10+D89</f>
        <v>#REF!</v>
      </c>
      <c r="E9" s="33">
        <v>20670777</v>
      </c>
      <c r="F9" s="33">
        <f>F10+F32+F68+F89</f>
        <v>21394124</v>
      </c>
      <c r="G9" s="33">
        <f>G10+G32+G68+G89</f>
        <v>22230996</v>
      </c>
      <c r="H9" s="33">
        <f>H10+H32+H68+H89</f>
        <v>23504160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3" customFormat="1" ht="14.25">
      <c r="A10" s="16" t="s">
        <v>10</v>
      </c>
      <c r="B10" s="17" t="s">
        <v>11</v>
      </c>
      <c r="C10" s="33">
        <f>C11+C17+C29</f>
        <v>9697749</v>
      </c>
      <c r="D10" s="33">
        <f aca="true" t="shared" si="0" ref="D10:D15">-73190</f>
        <v>-73190</v>
      </c>
      <c r="E10" s="33">
        <f aca="true" t="shared" si="1" ref="E10:E73">C10+D10</f>
        <v>9624559</v>
      </c>
      <c r="F10" s="33">
        <f>F11+F17+F29</f>
        <v>10037503</v>
      </c>
      <c r="G10" s="33">
        <f>G11+G17+G29</f>
        <v>10656258</v>
      </c>
      <c r="H10" s="33">
        <f>H11+H17+H29</f>
        <v>11824308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3" customFormat="1" ht="14.25">
      <c r="A11" s="16" t="s">
        <v>12</v>
      </c>
      <c r="B11" s="17" t="s">
        <v>13</v>
      </c>
      <c r="C11" s="33">
        <f>C12</f>
        <v>8511660</v>
      </c>
      <c r="D11" s="33">
        <f t="shared" si="0"/>
        <v>-73190</v>
      </c>
      <c r="E11" s="33">
        <f t="shared" si="1"/>
        <v>8438470</v>
      </c>
      <c r="F11" s="33">
        <f aca="true" t="shared" si="2" ref="F11:H13">F12</f>
        <v>8758816</v>
      </c>
      <c r="G11" s="33">
        <f t="shared" si="2"/>
        <v>9235984</v>
      </c>
      <c r="H11" s="33">
        <f t="shared" si="2"/>
        <v>9951948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3" customFormat="1" ht="15">
      <c r="A12" s="15" t="s">
        <v>14</v>
      </c>
      <c r="B12" s="11" t="s">
        <v>15</v>
      </c>
      <c r="C12" s="34">
        <f>C13</f>
        <v>8511660</v>
      </c>
      <c r="D12" s="34">
        <f t="shared" si="0"/>
        <v>-73190</v>
      </c>
      <c r="E12" s="34">
        <f t="shared" si="1"/>
        <v>8438470</v>
      </c>
      <c r="F12" s="34">
        <f t="shared" si="2"/>
        <v>8758816</v>
      </c>
      <c r="G12" s="34">
        <f t="shared" si="2"/>
        <v>9235984</v>
      </c>
      <c r="H12" s="34">
        <f t="shared" si="2"/>
        <v>9951948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3" customFormat="1" ht="15">
      <c r="A13" s="15" t="s">
        <v>16</v>
      </c>
      <c r="B13" s="11" t="s">
        <v>15</v>
      </c>
      <c r="C13" s="34">
        <f>C14</f>
        <v>8511660</v>
      </c>
      <c r="D13" s="34">
        <f t="shared" si="0"/>
        <v>-73190</v>
      </c>
      <c r="E13" s="34">
        <f t="shared" si="1"/>
        <v>8438470</v>
      </c>
      <c r="F13" s="34">
        <f t="shared" si="2"/>
        <v>8758816</v>
      </c>
      <c r="G13" s="34">
        <f t="shared" si="2"/>
        <v>9235984</v>
      </c>
      <c r="H13" s="34">
        <f t="shared" si="2"/>
        <v>9951948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3" customFormat="1" ht="15">
      <c r="A14" s="15" t="s">
        <v>17</v>
      </c>
      <c r="B14" s="11" t="s">
        <v>18</v>
      </c>
      <c r="C14" s="34">
        <f>C15+C16</f>
        <v>8511660</v>
      </c>
      <c r="D14" s="34">
        <f t="shared" si="0"/>
        <v>-73190</v>
      </c>
      <c r="E14" s="34">
        <f t="shared" si="1"/>
        <v>8438470</v>
      </c>
      <c r="F14" s="34">
        <f>F15+F16</f>
        <v>8758816</v>
      </c>
      <c r="G14" s="34">
        <f>G15+G16</f>
        <v>9235984</v>
      </c>
      <c r="H14" s="34">
        <f>H15+H16</f>
        <v>9951948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3" customFormat="1" ht="38.25">
      <c r="A15" s="15" t="s">
        <v>19</v>
      </c>
      <c r="B15" s="11" t="s">
        <v>20</v>
      </c>
      <c r="C15" s="34">
        <v>120000</v>
      </c>
      <c r="D15" s="34">
        <f t="shared" si="0"/>
        <v>-73190</v>
      </c>
      <c r="E15" s="34">
        <f t="shared" si="1"/>
        <v>46810</v>
      </c>
      <c r="F15" s="34">
        <v>88399</v>
      </c>
      <c r="G15" s="34">
        <v>90000</v>
      </c>
      <c r="H15" s="34">
        <v>95000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3" customFormat="1" ht="38.25">
      <c r="A16" s="15" t="s">
        <v>21</v>
      </c>
      <c r="B16" s="11" t="s">
        <v>22</v>
      </c>
      <c r="C16" s="34">
        <v>8391660</v>
      </c>
      <c r="D16" s="34"/>
      <c r="E16" s="34">
        <f t="shared" si="1"/>
        <v>8391660</v>
      </c>
      <c r="F16" s="34">
        <v>8670417</v>
      </c>
      <c r="G16" s="34">
        <v>9145984</v>
      </c>
      <c r="H16" s="34">
        <v>9856948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3" customFormat="1" ht="14.25">
      <c r="A17" s="16" t="s">
        <v>23</v>
      </c>
      <c r="B17" s="17" t="s">
        <v>24</v>
      </c>
      <c r="C17" s="33">
        <v>1158089</v>
      </c>
      <c r="D17" s="33"/>
      <c r="E17" s="33">
        <f t="shared" si="1"/>
        <v>1158089</v>
      </c>
      <c r="F17" s="33">
        <f aca="true" t="shared" si="3" ref="F17:H18">F18</f>
        <v>1248687</v>
      </c>
      <c r="G17" s="33">
        <f t="shared" si="3"/>
        <v>1370274</v>
      </c>
      <c r="H17" s="33">
        <f t="shared" si="3"/>
        <v>1812360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3" customFormat="1" ht="15">
      <c r="A18" s="15" t="s">
        <v>25</v>
      </c>
      <c r="B18" s="11" t="s">
        <v>24</v>
      </c>
      <c r="C18" s="34">
        <v>1158089</v>
      </c>
      <c r="D18" s="34"/>
      <c r="E18" s="33">
        <f t="shared" si="1"/>
        <v>1158089</v>
      </c>
      <c r="F18" s="33">
        <f t="shared" si="3"/>
        <v>1248687</v>
      </c>
      <c r="G18" s="33">
        <f t="shared" si="3"/>
        <v>1370274</v>
      </c>
      <c r="H18" s="33">
        <f t="shared" si="3"/>
        <v>1812360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13" customFormat="1" ht="15">
      <c r="A19" s="15" t="s">
        <v>26</v>
      </c>
      <c r="B19" s="11" t="s">
        <v>27</v>
      </c>
      <c r="C19" s="34">
        <v>1158089</v>
      </c>
      <c r="D19" s="34"/>
      <c r="E19" s="33">
        <f t="shared" si="1"/>
        <v>1158089</v>
      </c>
      <c r="F19" s="33">
        <f>F20+F23+F26</f>
        <v>1248687</v>
      </c>
      <c r="G19" s="33">
        <f>G20+G23+G26</f>
        <v>1370274</v>
      </c>
      <c r="H19" s="33">
        <f>H20+H23+H26</f>
        <v>1812360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13" customFormat="1" ht="15">
      <c r="A20" s="15" t="s">
        <v>28</v>
      </c>
      <c r="B20" s="11" t="s">
        <v>29</v>
      </c>
      <c r="C20" s="34">
        <v>893935</v>
      </c>
      <c r="D20" s="34"/>
      <c r="E20" s="33">
        <f t="shared" si="1"/>
        <v>893935</v>
      </c>
      <c r="F20" s="33">
        <f>F21+F22</f>
        <v>969824</v>
      </c>
      <c r="G20" s="33">
        <f>G21+G22</f>
        <v>1065690</v>
      </c>
      <c r="H20" s="33">
        <f>H21+H22</f>
        <v>1420389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3" customFormat="1" ht="25.5">
      <c r="A21" s="15" t="s">
        <v>30</v>
      </c>
      <c r="B21" s="11" t="s">
        <v>31</v>
      </c>
      <c r="C21" s="34">
        <v>851935</v>
      </c>
      <c r="D21" s="34"/>
      <c r="E21" s="34">
        <f t="shared" si="1"/>
        <v>851935</v>
      </c>
      <c r="F21" s="34">
        <v>919824</v>
      </c>
      <c r="G21" s="34">
        <v>985690</v>
      </c>
      <c r="H21" s="34">
        <v>1300389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13" customFormat="1" ht="25.5">
      <c r="A22" s="15" t="s">
        <v>32</v>
      </c>
      <c r="B22" s="11" t="s">
        <v>33</v>
      </c>
      <c r="C22" s="34">
        <v>42000</v>
      </c>
      <c r="D22" s="34"/>
      <c r="E22" s="34">
        <f t="shared" si="1"/>
        <v>42000</v>
      </c>
      <c r="F22" s="34">
        <v>50000</v>
      </c>
      <c r="G22" s="34">
        <v>80000</v>
      </c>
      <c r="H22" s="34">
        <v>120000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ht="15">
      <c r="A23" s="15" t="s">
        <v>34</v>
      </c>
      <c r="B23" s="11" t="s">
        <v>35</v>
      </c>
      <c r="C23" s="34">
        <v>178997</v>
      </c>
      <c r="D23" s="34"/>
      <c r="E23" s="33">
        <f t="shared" si="1"/>
        <v>178997</v>
      </c>
      <c r="F23" s="33">
        <f>F24+F25</f>
        <v>191355</v>
      </c>
      <c r="G23" s="33">
        <f>G24+G25</f>
        <v>215761</v>
      </c>
      <c r="H23" s="33">
        <f>H24+H25</f>
        <v>300546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3" customFormat="1" ht="25.5">
      <c r="A24" s="15" t="s">
        <v>36</v>
      </c>
      <c r="B24" s="11" t="s">
        <v>37</v>
      </c>
      <c r="C24" s="34">
        <v>171997</v>
      </c>
      <c r="D24" s="34"/>
      <c r="E24" s="34">
        <f t="shared" si="1"/>
        <v>171997</v>
      </c>
      <c r="F24" s="34">
        <v>181355</v>
      </c>
      <c r="G24" s="34">
        <v>210761</v>
      </c>
      <c r="H24" s="34">
        <v>250546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13" customFormat="1" ht="25.5">
      <c r="A25" s="15" t="s">
        <v>38</v>
      </c>
      <c r="B25" s="11" t="s">
        <v>39</v>
      </c>
      <c r="C25" s="34">
        <v>7000</v>
      </c>
      <c r="D25" s="34"/>
      <c r="E25" s="34">
        <f t="shared" si="1"/>
        <v>7000</v>
      </c>
      <c r="F25" s="34">
        <v>10000</v>
      </c>
      <c r="G25" s="34">
        <v>5000</v>
      </c>
      <c r="H25" s="34">
        <v>50000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3" customFormat="1" ht="15">
      <c r="A26" s="15" t="s">
        <v>40</v>
      </c>
      <c r="B26" s="11" t="s">
        <v>41</v>
      </c>
      <c r="C26" s="34">
        <v>85157</v>
      </c>
      <c r="D26" s="34"/>
      <c r="E26" s="33">
        <f t="shared" si="1"/>
        <v>85157</v>
      </c>
      <c r="F26" s="33">
        <f>F27+F28</f>
        <v>87508</v>
      </c>
      <c r="G26" s="33">
        <f>G27+G28</f>
        <v>88823</v>
      </c>
      <c r="H26" s="33">
        <f>H27+H28</f>
        <v>91425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3" customFormat="1" ht="25.5">
      <c r="A27" s="15" t="s">
        <v>42</v>
      </c>
      <c r="B27" s="11" t="s">
        <v>43</v>
      </c>
      <c r="C27" s="34">
        <v>83157</v>
      </c>
      <c r="D27" s="34"/>
      <c r="E27" s="34">
        <f t="shared" si="1"/>
        <v>83157</v>
      </c>
      <c r="F27" s="34">
        <v>82508</v>
      </c>
      <c r="G27" s="34">
        <v>80823</v>
      </c>
      <c r="H27" s="34">
        <v>81425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13" customFormat="1" ht="25.5">
      <c r="A28" s="15" t="s">
        <v>44</v>
      </c>
      <c r="B28" s="11" t="s">
        <v>45</v>
      </c>
      <c r="C28" s="34">
        <v>2000</v>
      </c>
      <c r="D28" s="34"/>
      <c r="E28" s="34">
        <f t="shared" si="1"/>
        <v>2000</v>
      </c>
      <c r="F28" s="34">
        <v>5000</v>
      </c>
      <c r="G28" s="34">
        <v>8000</v>
      </c>
      <c r="H28" s="34">
        <v>10000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3" customFormat="1" ht="14.25">
      <c r="A29" s="16" t="s">
        <v>46</v>
      </c>
      <c r="B29" s="17" t="s">
        <v>47</v>
      </c>
      <c r="C29" s="33">
        <v>28000</v>
      </c>
      <c r="D29" s="33"/>
      <c r="E29" s="33">
        <f t="shared" si="1"/>
        <v>28000</v>
      </c>
      <c r="F29" s="33">
        <f>F30</f>
        <v>30000</v>
      </c>
      <c r="G29" s="33">
        <v>50000</v>
      </c>
      <c r="H29" s="33">
        <f>H30</f>
        <v>60000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13" customFormat="1" ht="25.5">
      <c r="A30" s="15" t="s">
        <v>49</v>
      </c>
      <c r="B30" s="11" t="s">
        <v>48</v>
      </c>
      <c r="C30" s="34">
        <v>28000</v>
      </c>
      <c r="D30" s="34"/>
      <c r="E30" s="33">
        <f t="shared" si="1"/>
        <v>28000</v>
      </c>
      <c r="F30" s="33">
        <f>F31</f>
        <v>30000</v>
      </c>
      <c r="G30" s="33">
        <v>50000</v>
      </c>
      <c r="H30" s="33">
        <f>H31</f>
        <v>60000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3" customFormat="1" ht="15">
      <c r="A31" s="15" t="s">
        <v>50</v>
      </c>
      <c r="B31" s="11" t="s">
        <v>51</v>
      </c>
      <c r="C31" s="34">
        <v>28000</v>
      </c>
      <c r="D31" s="34"/>
      <c r="E31" s="34">
        <f t="shared" si="1"/>
        <v>28000</v>
      </c>
      <c r="F31" s="34">
        <v>30000</v>
      </c>
      <c r="G31" s="34">
        <v>50000</v>
      </c>
      <c r="H31" s="34">
        <v>60000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3" customFormat="1" ht="14.25">
      <c r="A32" s="16" t="s">
        <v>52</v>
      </c>
      <c r="B32" s="17" t="s">
        <v>53</v>
      </c>
      <c r="C32" s="33">
        <f>C33+C37+C51+C54+C63</f>
        <v>231505</v>
      </c>
      <c r="D32" s="33"/>
      <c r="E32" s="33">
        <f t="shared" si="1"/>
        <v>231505</v>
      </c>
      <c r="F32" s="33">
        <f>F33+F37+F51+F54+F63</f>
        <v>183821</v>
      </c>
      <c r="G32" s="33">
        <f>G33+G37+G51+G54+G63</f>
        <v>181839</v>
      </c>
      <c r="H32" s="33">
        <f>H33+H37+H51+H54+H63</f>
        <v>336231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21" customFormat="1" ht="25.5">
      <c r="A33" s="16" t="s">
        <v>54</v>
      </c>
      <c r="B33" s="17" t="s">
        <v>55</v>
      </c>
      <c r="C33" s="33">
        <v>2563</v>
      </c>
      <c r="D33" s="33"/>
      <c r="E33" s="33">
        <f t="shared" si="1"/>
        <v>2563</v>
      </c>
      <c r="F33" s="33">
        <f>F34</f>
        <v>2040</v>
      </c>
      <c r="G33" s="33"/>
      <c r="H33" s="33">
        <f>H34</f>
        <v>3000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13" customFormat="1" ht="25.5">
      <c r="A34" s="15" t="s">
        <v>56</v>
      </c>
      <c r="B34" s="11" t="s">
        <v>57</v>
      </c>
      <c r="C34" s="34">
        <v>2563</v>
      </c>
      <c r="D34" s="34"/>
      <c r="E34" s="33">
        <f t="shared" si="1"/>
        <v>2563</v>
      </c>
      <c r="F34" s="33">
        <f>F35</f>
        <v>2040</v>
      </c>
      <c r="G34" s="33"/>
      <c r="H34" s="33">
        <f>H36</f>
        <v>3000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13" customFormat="1" ht="15">
      <c r="A35" s="15" t="s">
        <v>58</v>
      </c>
      <c r="B35" s="11" t="s">
        <v>59</v>
      </c>
      <c r="C35" s="34">
        <v>2563</v>
      </c>
      <c r="D35" s="34"/>
      <c r="E35" s="34">
        <f t="shared" si="1"/>
        <v>2563</v>
      </c>
      <c r="F35" s="34">
        <f>F36</f>
        <v>2040</v>
      </c>
      <c r="G35" s="34"/>
      <c r="H35" s="3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13" customFormat="1" ht="25.5">
      <c r="A36" s="15" t="s">
        <v>285</v>
      </c>
      <c r="B36" s="11" t="s">
        <v>286</v>
      </c>
      <c r="C36" s="34">
        <v>2563</v>
      </c>
      <c r="D36" s="34"/>
      <c r="E36" s="34">
        <f t="shared" si="1"/>
        <v>2563</v>
      </c>
      <c r="F36" s="34">
        <f>40+2000</f>
        <v>2040</v>
      </c>
      <c r="G36" s="34"/>
      <c r="H36" s="34">
        <v>3000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13" customFormat="1" ht="25.5">
      <c r="A37" s="16" t="s">
        <v>60</v>
      </c>
      <c r="B37" s="17" t="s">
        <v>61</v>
      </c>
      <c r="C37" s="33">
        <f>C38+C44</f>
        <v>10978</v>
      </c>
      <c r="D37" s="33"/>
      <c r="E37" s="33">
        <v>10910</v>
      </c>
      <c r="F37" s="33">
        <f>F38+F44</f>
        <v>10146</v>
      </c>
      <c r="G37" s="33">
        <v>9221</v>
      </c>
      <c r="H37" s="33">
        <f>H38+H44</f>
        <v>38651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13" customFormat="1" ht="25.5">
      <c r="A38" s="15" t="s">
        <v>62</v>
      </c>
      <c r="B38" s="11" t="s">
        <v>63</v>
      </c>
      <c r="C38" s="34">
        <f>C39+C40+C41+C42+C43</f>
        <v>5473</v>
      </c>
      <c r="D38" s="34"/>
      <c r="E38" s="33">
        <v>5405</v>
      </c>
      <c r="F38" s="33">
        <f>F39+F40+F41+F42+F43</f>
        <v>4810</v>
      </c>
      <c r="G38" s="33">
        <v>6790</v>
      </c>
      <c r="H38" s="33">
        <f>SUM(H39:H43)</f>
        <v>8235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13" customFormat="1" ht="25.5">
      <c r="A39" s="15" t="s">
        <v>64</v>
      </c>
      <c r="B39" s="11" t="s">
        <v>65</v>
      </c>
      <c r="C39" s="34">
        <v>1513</v>
      </c>
      <c r="D39" s="34"/>
      <c r="E39" s="34">
        <v>1523</v>
      </c>
      <c r="F39" s="34">
        <v>2100</v>
      </c>
      <c r="G39" s="34">
        <v>3500</v>
      </c>
      <c r="H39" s="34">
        <f>4500</f>
        <v>4500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13" customFormat="1" ht="38.25">
      <c r="A40" s="15" t="s">
        <v>66</v>
      </c>
      <c r="B40" s="11" t="s">
        <v>67</v>
      </c>
      <c r="C40" s="34">
        <v>300</v>
      </c>
      <c r="D40" s="34"/>
      <c r="E40" s="34">
        <v>350</v>
      </c>
      <c r="F40" s="34">
        <v>300</v>
      </c>
      <c r="G40" s="34">
        <v>200</v>
      </c>
      <c r="H40" s="34">
        <f>200</f>
        <v>200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13" customFormat="1" ht="25.5">
      <c r="A41" s="15" t="s">
        <v>68</v>
      </c>
      <c r="B41" s="11" t="s">
        <v>69</v>
      </c>
      <c r="C41" s="34">
        <v>1000</v>
      </c>
      <c r="D41" s="34"/>
      <c r="E41" s="34">
        <f t="shared" si="1"/>
        <v>1000</v>
      </c>
      <c r="F41" s="34">
        <v>800</v>
      </c>
      <c r="G41" s="34">
        <v>1000</v>
      </c>
      <c r="H41" s="34">
        <v>2000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13" customFormat="1" ht="25.5">
      <c r="A42" s="15" t="s">
        <v>70</v>
      </c>
      <c r="B42" s="11" t="s">
        <v>71</v>
      </c>
      <c r="C42" s="34">
        <v>1500</v>
      </c>
      <c r="D42" s="34"/>
      <c r="E42" s="34">
        <f t="shared" si="1"/>
        <v>1500</v>
      </c>
      <c r="F42" s="34">
        <v>500</v>
      </c>
      <c r="G42" s="34">
        <v>1000</v>
      </c>
      <c r="H42" s="34">
        <v>500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3" customFormat="1" ht="25.5">
      <c r="A43" s="15" t="s">
        <v>72</v>
      </c>
      <c r="B43" s="11" t="s">
        <v>73</v>
      </c>
      <c r="C43" s="34">
        <v>1160</v>
      </c>
      <c r="D43" s="34"/>
      <c r="E43" s="34">
        <v>1032</v>
      </c>
      <c r="F43" s="34">
        <f>610+500</f>
        <v>1110</v>
      </c>
      <c r="G43" s="34">
        <v>1090</v>
      </c>
      <c r="H43" s="34">
        <f>535+500</f>
        <v>1035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13" customFormat="1" ht="25.5">
      <c r="A44" s="15" t="s">
        <v>74</v>
      </c>
      <c r="B44" s="11" t="s">
        <v>75</v>
      </c>
      <c r="C44" s="34">
        <f>C45+C46+C47+C48+C49+C50</f>
        <v>5505</v>
      </c>
      <c r="D44" s="34"/>
      <c r="E44" s="33">
        <f t="shared" si="1"/>
        <v>5505</v>
      </c>
      <c r="F44" s="33">
        <f>F45+F46+F47+F48+F49+F50</f>
        <v>5336</v>
      </c>
      <c r="G44" s="33">
        <v>2431</v>
      </c>
      <c r="H44" s="33">
        <f>SUM(H45:H50)</f>
        <v>30416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13" customFormat="1" ht="38.25">
      <c r="A45" s="15" t="s">
        <v>76</v>
      </c>
      <c r="B45" s="11" t="s">
        <v>77</v>
      </c>
      <c r="C45" s="34">
        <v>792</v>
      </c>
      <c r="D45" s="34"/>
      <c r="E45" s="34">
        <f t="shared" si="1"/>
        <v>792</v>
      </c>
      <c r="F45" s="34">
        <v>610</v>
      </c>
      <c r="G45" s="34">
        <v>405</v>
      </c>
      <c r="H45" s="34">
        <f>290+100</f>
        <v>390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13" customFormat="1" ht="25.5">
      <c r="A46" s="15" t="s">
        <v>78</v>
      </c>
      <c r="B46" s="11" t="s">
        <v>79</v>
      </c>
      <c r="C46" s="34">
        <v>800</v>
      </c>
      <c r="D46" s="34"/>
      <c r="E46" s="34">
        <f t="shared" si="1"/>
        <v>800</v>
      </c>
      <c r="F46" s="34">
        <v>500</v>
      </c>
      <c r="G46" s="34">
        <v>500</v>
      </c>
      <c r="H46" s="34">
        <v>25000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13" customFormat="1" ht="15">
      <c r="A47" s="15" t="s">
        <v>80</v>
      </c>
      <c r="B47" s="11" t="s">
        <v>81</v>
      </c>
      <c r="C47" s="34">
        <v>0</v>
      </c>
      <c r="D47" s="34"/>
      <c r="E47" s="34">
        <f t="shared" si="1"/>
        <v>0</v>
      </c>
      <c r="F47" s="34"/>
      <c r="G47" s="34"/>
      <c r="H47" s="3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13" customFormat="1" ht="25.5">
      <c r="A48" s="15" t="s">
        <v>82</v>
      </c>
      <c r="B48" s="11" t="s">
        <v>83</v>
      </c>
      <c r="C48" s="34">
        <v>500</v>
      </c>
      <c r="D48" s="34"/>
      <c r="E48" s="34">
        <f t="shared" si="1"/>
        <v>500</v>
      </c>
      <c r="F48" s="34">
        <v>500</v>
      </c>
      <c r="G48" s="34">
        <v>500</v>
      </c>
      <c r="H48" s="34">
        <v>500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13" customFormat="1" ht="25.5">
      <c r="A49" s="15" t="s">
        <v>84</v>
      </c>
      <c r="B49" s="11" t="s">
        <v>85</v>
      </c>
      <c r="C49" s="34">
        <v>3071</v>
      </c>
      <c r="D49" s="34"/>
      <c r="E49" s="34">
        <v>3000</v>
      </c>
      <c r="F49" s="34">
        <v>3500</v>
      </c>
      <c r="G49" s="34">
        <v>1000</v>
      </c>
      <c r="H49" s="34">
        <v>4000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13" customFormat="1" ht="15">
      <c r="A50" s="15" t="s">
        <v>86</v>
      </c>
      <c r="B50" s="11" t="s">
        <v>87</v>
      </c>
      <c r="C50" s="34">
        <v>342</v>
      </c>
      <c r="D50" s="34"/>
      <c r="E50" s="34">
        <v>413</v>
      </c>
      <c r="F50" s="34">
        <f>26+200</f>
        <v>226</v>
      </c>
      <c r="G50" s="34">
        <v>26</v>
      </c>
      <c r="H50" s="34">
        <f>26+500</f>
        <v>526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13" customFormat="1" ht="14.25">
      <c r="A51" s="16" t="s">
        <v>88</v>
      </c>
      <c r="B51" s="17" t="s">
        <v>89</v>
      </c>
      <c r="C51" s="33">
        <v>7180</v>
      </c>
      <c r="D51" s="33"/>
      <c r="E51" s="33">
        <f t="shared" si="1"/>
        <v>7180</v>
      </c>
      <c r="F51" s="33">
        <f>F52</f>
        <v>30000</v>
      </c>
      <c r="G51" s="33">
        <v>50050</v>
      </c>
      <c r="H51" s="33">
        <f>H52</f>
        <v>25000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13" customFormat="1" ht="15">
      <c r="A52" s="15" t="s">
        <v>90</v>
      </c>
      <c r="B52" s="11" t="s">
        <v>91</v>
      </c>
      <c r="C52" s="34">
        <v>7180</v>
      </c>
      <c r="D52" s="34"/>
      <c r="E52" s="33">
        <f t="shared" si="1"/>
        <v>7180</v>
      </c>
      <c r="F52" s="33">
        <f>F53</f>
        <v>30000</v>
      </c>
      <c r="G52" s="33">
        <v>50050</v>
      </c>
      <c r="H52" s="33">
        <f>H53</f>
        <v>25000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13" customFormat="1" ht="15">
      <c r="A53" s="15" t="s">
        <v>92</v>
      </c>
      <c r="B53" s="11" t="s">
        <v>93</v>
      </c>
      <c r="C53" s="34">
        <v>7180</v>
      </c>
      <c r="D53" s="34"/>
      <c r="E53" s="34">
        <f t="shared" si="1"/>
        <v>7180</v>
      </c>
      <c r="F53" s="34">
        <v>30000</v>
      </c>
      <c r="G53" s="34">
        <v>50050</v>
      </c>
      <c r="H53" s="34">
        <v>25000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13" customFormat="1" ht="14.25">
      <c r="A54" s="16" t="s">
        <v>94</v>
      </c>
      <c r="B54" s="17" t="s">
        <v>95</v>
      </c>
      <c r="C54" s="33" t="s">
        <v>96</v>
      </c>
      <c r="D54" s="33"/>
      <c r="E54" s="33">
        <f t="shared" si="1"/>
        <v>21346</v>
      </c>
      <c r="F54" s="33">
        <f>F57</f>
        <v>17100</v>
      </c>
      <c r="G54" s="33">
        <v>22568</v>
      </c>
      <c r="H54" s="33">
        <f>H55+H57</f>
        <v>119580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13" customFormat="1" ht="25.5">
      <c r="A55" s="15" t="s">
        <v>279</v>
      </c>
      <c r="B55" s="11" t="s">
        <v>281</v>
      </c>
      <c r="C55" s="33"/>
      <c r="D55" s="33"/>
      <c r="E55" s="33"/>
      <c r="F55" s="33"/>
      <c r="G55" s="33"/>
      <c r="H55" s="33">
        <f>H56</f>
        <v>600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13" customFormat="1" ht="38.25">
      <c r="A56" s="15" t="s">
        <v>280</v>
      </c>
      <c r="B56" s="11" t="s">
        <v>282</v>
      </c>
      <c r="C56" s="33"/>
      <c r="D56" s="33"/>
      <c r="E56" s="33"/>
      <c r="F56" s="33"/>
      <c r="G56" s="33"/>
      <c r="H56" s="34">
        <f>200+400</f>
        <v>600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13" customFormat="1" ht="15">
      <c r="A57" s="15" t="s">
        <v>97</v>
      </c>
      <c r="B57" s="11" t="s">
        <v>98</v>
      </c>
      <c r="C57" s="34" t="s">
        <v>96</v>
      </c>
      <c r="D57" s="34"/>
      <c r="E57" s="33">
        <f t="shared" si="1"/>
        <v>21346</v>
      </c>
      <c r="F57" s="33">
        <f>F58</f>
        <v>17100</v>
      </c>
      <c r="G57" s="33">
        <v>22568</v>
      </c>
      <c r="H57" s="33">
        <f>H58</f>
        <v>118980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13" customFormat="1" ht="15">
      <c r="A58" s="15" t="s">
        <v>99</v>
      </c>
      <c r="B58" s="11" t="s">
        <v>100</v>
      </c>
      <c r="C58" s="34" t="s">
        <v>96</v>
      </c>
      <c r="D58" s="34"/>
      <c r="E58" s="34">
        <f t="shared" si="1"/>
        <v>21346</v>
      </c>
      <c r="F58" s="34">
        <f>F60+F62</f>
        <v>17100</v>
      </c>
      <c r="G58" s="34">
        <v>22568</v>
      </c>
      <c r="H58" s="34">
        <f>SUM(H59:H62)</f>
        <v>118980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13" customFormat="1" ht="15">
      <c r="A59" s="15" t="s">
        <v>287</v>
      </c>
      <c r="B59" s="11" t="s">
        <v>288</v>
      </c>
      <c r="C59" s="34"/>
      <c r="D59" s="34"/>
      <c r="E59" s="34"/>
      <c r="F59" s="34"/>
      <c r="G59" s="34"/>
      <c r="H59" s="34">
        <v>35000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13" customFormat="1" ht="15">
      <c r="A60" s="15" t="s">
        <v>101</v>
      </c>
      <c r="B60" s="11" t="s">
        <v>102</v>
      </c>
      <c r="C60" s="34">
        <v>0</v>
      </c>
      <c r="D60" s="34"/>
      <c r="E60" s="34">
        <f t="shared" si="1"/>
        <v>0</v>
      </c>
      <c r="F60" s="34"/>
      <c r="G60" s="34"/>
      <c r="H60" s="34">
        <v>450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13" customFormat="1" ht="15">
      <c r="A61" s="15" t="s">
        <v>283</v>
      </c>
      <c r="B61" s="11" t="s">
        <v>284</v>
      </c>
      <c r="C61" s="34"/>
      <c r="D61" s="34"/>
      <c r="E61" s="34"/>
      <c r="F61" s="34"/>
      <c r="G61" s="34"/>
      <c r="H61" s="34">
        <f>300+24000</f>
        <v>24300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13" customFormat="1" ht="25.5">
      <c r="A62" s="15" t="s">
        <v>103</v>
      </c>
      <c r="B62" s="11" t="s">
        <v>104</v>
      </c>
      <c r="C62" s="34" t="s">
        <v>96</v>
      </c>
      <c r="D62" s="34"/>
      <c r="E62" s="34">
        <f t="shared" si="1"/>
        <v>21346</v>
      </c>
      <c r="F62" s="34">
        <v>17100</v>
      </c>
      <c r="G62" s="34">
        <v>22568</v>
      </c>
      <c r="H62" s="34">
        <f>39230+20000</f>
        <v>59230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13" customFormat="1" ht="38.25">
      <c r="A63" s="16" t="s">
        <v>105</v>
      </c>
      <c r="B63" s="17" t="s">
        <v>106</v>
      </c>
      <c r="C63" s="33">
        <f>C64+C65+C66+C67</f>
        <v>189438</v>
      </c>
      <c r="D63" s="33"/>
      <c r="E63" s="33">
        <f t="shared" si="1"/>
        <v>189438</v>
      </c>
      <c r="F63" s="33">
        <f>F64+F65+F66+F67</f>
        <v>124535</v>
      </c>
      <c r="G63" s="33">
        <v>100000</v>
      </c>
      <c r="H63" s="33">
        <f>H64+H65</f>
        <v>150000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13" customFormat="1" ht="25.5">
      <c r="A64" s="15" t="s">
        <v>107</v>
      </c>
      <c r="B64" s="11" t="s">
        <v>108</v>
      </c>
      <c r="C64" s="34">
        <v>140000</v>
      </c>
      <c r="D64" s="34"/>
      <c r="E64" s="34">
        <f t="shared" si="1"/>
        <v>140000</v>
      </c>
      <c r="F64" s="34">
        <v>40000</v>
      </c>
      <c r="G64" s="34">
        <v>80000</v>
      </c>
      <c r="H64" s="34">
        <f>100000</f>
        <v>100000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13" customFormat="1" ht="25.5">
      <c r="A65" s="15" t="s">
        <v>109</v>
      </c>
      <c r="B65" s="11" t="s">
        <v>110</v>
      </c>
      <c r="C65" s="34">
        <v>45000</v>
      </c>
      <c r="D65" s="34"/>
      <c r="E65" s="34">
        <f t="shared" si="1"/>
        <v>45000</v>
      </c>
      <c r="F65" s="34">
        <v>80000</v>
      </c>
      <c r="G65" s="34">
        <v>20000</v>
      </c>
      <c r="H65" s="34">
        <v>50000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13" customFormat="1" ht="51">
      <c r="A66" s="15" t="s">
        <v>111</v>
      </c>
      <c r="B66" s="11" t="s">
        <v>112</v>
      </c>
      <c r="C66" s="34">
        <v>170</v>
      </c>
      <c r="D66" s="34"/>
      <c r="E66" s="34">
        <f t="shared" si="1"/>
        <v>170</v>
      </c>
      <c r="F66" s="34">
        <v>2267</v>
      </c>
      <c r="G66" s="34"/>
      <c r="H66" s="3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s="13" customFormat="1" ht="25.5">
      <c r="A67" s="15" t="s">
        <v>113</v>
      </c>
      <c r="B67" s="11" t="s">
        <v>114</v>
      </c>
      <c r="C67" s="34" t="s">
        <v>115</v>
      </c>
      <c r="D67" s="34"/>
      <c r="E67" s="34">
        <f t="shared" si="1"/>
        <v>4268</v>
      </c>
      <c r="F67" s="34">
        <v>2268</v>
      </c>
      <c r="G67" s="34"/>
      <c r="H67" s="3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13" customFormat="1" ht="25.5">
      <c r="A68" s="16" t="s">
        <v>116</v>
      </c>
      <c r="B68" s="17" t="s">
        <v>117</v>
      </c>
      <c r="C68" s="33">
        <f>C69+C86</f>
        <v>1156427</v>
      </c>
      <c r="D68" s="33"/>
      <c r="E68" s="33">
        <v>1139801</v>
      </c>
      <c r="F68" s="33">
        <f>F69+F86</f>
        <v>1054996</v>
      </c>
      <c r="G68" s="33">
        <v>1035305</v>
      </c>
      <c r="H68" s="33">
        <f>H69+H86</f>
        <v>902035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s="13" customFormat="1" ht="25.5">
      <c r="A69" s="15" t="s">
        <v>118</v>
      </c>
      <c r="B69" s="11" t="s">
        <v>119</v>
      </c>
      <c r="C69" s="34">
        <f>C70+C73+C75+C81</f>
        <v>1151690</v>
      </c>
      <c r="D69" s="34"/>
      <c r="E69" s="33">
        <v>962976</v>
      </c>
      <c r="F69" s="33">
        <f>F70+F73+F75+F81</f>
        <v>1050056</v>
      </c>
      <c r="G69" s="33">
        <v>1030705</v>
      </c>
      <c r="H69" s="33">
        <f>H70+H73+H75+H81</f>
        <v>896605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13" customFormat="1" ht="15">
      <c r="A70" s="15" t="s">
        <v>120</v>
      </c>
      <c r="B70" s="11" t="s">
        <v>121</v>
      </c>
      <c r="C70" s="34" t="s">
        <v>122</v>
      </c>
      <c r="D70" s="34"/>
      <c r="E70" s="33">
        <f t="shared" si="1"/>
        <v>287507</v>
      </c>
      <c r="F70" s="33">
        <f>F71+F72</f>
        <v>265419</v>
      </c>
      <c r="G70" s="33">
        <v>305054</v>
      </c>
      <c r="H70" s="33">
        <f>SUM(H71:H72)</f>
        <v>272455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13" customFormat="1" ht="15">
      <c r="A71" s="15" t="s">
        <v>123</v>
      </c>
      <c r="B71" s="11" t="s">
        <v>124</v>
      </c>
      <c r="C71" s="34" t="s">
        <v>125</v>
      </c>
      <c r="D71" s="34"/>
      <c r="E71" s="34">
        <f t="shared" si="1"/>
        <v>231322</v>
      </c>
      <c r="F71" s="34">
        <v>208457</v>
      </c>
      <c r="G71" s="34">
        <v>239034</v>
      </c>
      <c r="H71" s="34">
        <v>207200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s="13" customFormat="1" ht="15">
      <c r="A72" s="15" t="s">
        <v>126</v>
      </c>
      <c r="B72" s="11" t="s">
        <v>127</v>
      </c>
      <c r="C72" s="34" t="s">
        <v>128</v>
      </c>
      <c r="D72" s="34"/>
      <c r="E72" s="34">
        <f t="shared" si="1"/>
        <v>56185</v>
      </c>
      <c r="F72" s="34">
        <v>56962</v>
      </c>
      <c r="G72" s="34">
        <v>66020</v>
      </c>
      <c r="H72" s="34">
        <f>65255</f>
        <v>65255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s="13" customFormat="1" ht="25.5">
      <c r="A73" s="15" t="s">
        <v>129</v>
      </c>
      <c r="B73" s="11" t="s">
        <v>130</v>
      </c>
      <c r="C73" s="34">
        <v>563</v>
      </c>
      <c r="D73" s="34"/>
      <c r="E73" s="33">
        <f t="shared" si="1"/>
        <v>563</v>
      </c>
      <c r="F73" s="33">
        <f>F74</f>
        <v>1146</v>
      </c>
      <c r="G73" s="33">
        <v>475</v>
      </c>
      <c r="H73" s="33">
        <f>H74</f>
        <v>305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s="13" customFormat="1" ht="25.5">
      <c r="A74" s="15" t="s">
        <v>131</v>
      </c>
      <c r="B74" s="11" t="s">
        <v>132</v>
      </c>
      <c r="C74" s="34">
        <v>492</v>
      </c>
      <c r="D74" s="34"/>
      <c r="E74" s="34">
        <v>563</v>
      </c>
      <c r="F74" s="34">
        <v>1146</v>
      </c>
      <c r="G74" s="34">
        <v>475</v>
      </c>
      <c r="H74" s="34">
        <v>305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s="13" customFormat="1" ht="15">
      <c r="A75" s="15" t="s">
        <v>133</v>
      </c>
      <c r="B75" s="11" t="s">
        <v>134</v>
      </c>
      <c r="C75" s="34">
        <f>C76+C77+C78+C79+C80</f>
        <v>173682</v>
      </c>
      <c r="D75" s="34"/>
      <c r="E75" s="33">
        <v>174182</v>
      </c>
      <c r="F75" s="33">
        <f>F76+F77+F78+F79+F80</f>
        <v>169755</v>
      </c>
      <c r="G75" s="33">
        <v>146975</v>
      </c>
      <c r="H75" s="33">
        <f>SUM(H76:H80)</f>
        <v>183079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s="13" customFormat="1" ht="15">
      <c r="A76" s="15" t="s">
        <v>135</v>
      </c>
      <c r="B76" s="11" t="s">
        <v>136</v>
      </c>
      <c r="C76" s="34">
        <v>130930</v>
      </c>
      <c r="D76" s="34"/>
      <c r="E76" s="34">
        <f>C76+D76</f>
        <v>130930</v>
      </c>
      <c r="F76" s="34">
        <f>94115+20000</f>
        <v>114115</v>
      </c>
      <c r="G76" s="34">
        <v>107169</v>
      </c>
      <c r="H76" s="34">
        <f>100823+25000</f>
        <v>125823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s="13" customFormat="1" ht="15">
      <c r="A77" s="15" t="s">
        <v>137</v>
      </c>
      <c r="B77" s="11" t="s">
        <v>138</v>
      </c>
      <c r="C77" s="34">
        <v>455</v>
      </c>
      <c r="D77" s="34"/>
      <c r="E77" s="34">
        <f>C77+D77</f>
        <v>455</v>
      </c>
      <c r="F77" s="34">
        <v>455</v>
      </c>
      <c r="G77" s="34">
        <v>0</v>
      </c>
      <c r="H77" s="34">
        <v>120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s="13" customFormat="1" ht="15">
      <c r="A78" s="15" t="s">
        <v>139</v>
      </c>
      <c r="B78" s="11" t="s">
        <v>140</v>
      </c>
      <c r="C78" s="34" t="s">
        <v>141</v>
      </c>
      <c r="D78" s="34"/>
      <c r="E78" s="34">
        <f>C78+D78</f>
        <v>1210</v>
      </c>
      <c r="F78" s="34">
        <v>1270</v>
      </c>
      <c r="G78" s="34">
        <v>1270</v>
      </c>
      <c r="H78" s="34">
        <v>1550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s="13" customFormat="1" ht="15">
      <c r="A79" s="15" t="s">
        <v>142</v>
      </c>
      <c r="B79" s="11" t="s">
        <v>143</v>
      </c>
      <c r="C79" s="34">
        <v>39993</v>
      </c>
      <c r="D79" s="34"/>
      <c r="E79" s="34">
        <v>40493</v>
      </c>
      <c r="F79" s="34">
        <f>26195+12000</f>
        <v>38195</v>
      </c>
      <c r="G79" s="34">
        <v>34806</v>
      </c>
      <c r="H79" s="34">
        <f>33286+20000</f>
        <v>53286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s="13" customFormat="1" ht="15">
      <c r="A80" s="15" t="s">
        <v>144</v>
      </c>
      <c r="B80" s="11" t="s">
        <v>145</v>
      </c>
      <c r="C80" s="34" t="s">
        <v>146</v>
      </c>
      <c r="D80" s="34"/>
      <c r="E80" s="34">
        <f>C80+D80</f>
        <v>1094</v>
      </c>
      <c r="F80" s="34">
        <f>720+15000</f>
        <v>15720</v>
      </c>
      <c r="G80" s="34">
        <v>3730</v>
      </c>
      <c r="H80" s="34">
        <f>2100+200</f>
        <v>2300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13" customFormat="1" ht="25.5">
      <c r="A81" s="15" t="s">
        <v>147</v>
      </c>
      <c r="B81" s="11" t="s">
        <v>148</v>
      </c>
      <c r="C81" s="34">
        <v>689938</v>
      </c>
      <c r="D81" s="34"/>
      <c r="E81" s="33">
        <v>500724</v>
      </c>
      <c r="F81" s="33">
        <f>F82+F83+F84+F85</f>
        <v>613736</v>
      </c>
      <c r="G81" s="33">
        <v>578201</v>
      </c>
      <c r="H81" s="33">
        <f>SUM(H82:H85)</f>
        <v>440766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13" customFormat="1" ht="25.5">
      <c r="A82" s="15" t="s">
        <v>149</v>
      </c>
      <c r="B82" s="11" t="s">
        <v>150</v>
      </c>
      <c r="C82" s="34" t="s">
        <v>151</v>
      </c>
      <c r="D82" s="34"/>
      <c r="E82" s="34">
        <f>C82+D82</f>
        <v>170950</v>
      </c>
      <c r="F82" s="34">
        <v>143700</v>
      </c>
      <c r="G82" s="34">
        <v>142700</v>
      </c>
      <c r="H82" s="3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13" customFormat="1" ht="15">
      <c r="A83" s="15" t="s">
        <v>152</v>
      </c>
      <c r="B83" s="11" t="s">
        <v>153</v>
      </c>
      <c r="C83" s="34" t="s">
        <v>154</v>
      </c>
      <c r="D83" s="34"/>
      <c r="E83" s="34">
        <f>C83+D83</f>
        <v>59190</v>
      </c>
      <c r="F83" s="34">
        <v>68715</v>
      </c>
      <c r="G83" s="34">
        <v>60100</v>
      </c>
      <c r="H83" s="34">
        <f>63330</f>
        <v>63330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13" customFormat="1" ht="25.5">
      <c r="A84" s="15" t="s">
        <v>155</v>
      </c>
      <c r="B84" s="11" t="s">
        <v>156</v>
      </c>
      <c r="C84" s="34" t="s">
        <v>157</v>
      </c>
      <c r="D84" s="34"/>
      <c r="E84" s="34">
        <v>185913</v>
      </c>
      <c r="F84" s="34">
        <v>93068</v>
      </c>
      <c r="G84" s="34">
        <v>85486</v>
      </c>
      <c r="H84" s="34">
        <v>88696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13" customFormat="1" ht="15">
      <c r="A85" s="15" t="s">
        <v>158</v>
      </c>
      <c r="B85" s="11" t="s">
        <v>159</v>
      </c>
      <c r="C85" s="34">
        <v>265717</v>
      </c>
      <c r="D85" s="34"/>
      <c r="E85" s="34">
        <v>255621</v>
      </c>
      <c r="F85" s="34">
        <f>307253+1000</f>
        <v>308253</v>
      </c>
      <c r="G85" s="34">
        <v>289915</v>
      </c>
      <c r="H85" s="34">
        <f>285740+3000</f>
        <v>288740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13" customFormat="1" ht="51">
      <c r="A86" s="15" t="s">
        <v>160</v>
      </c>
      <c r="B86" s="11" t="s">
        <v>161</v>
      </c>
      <c r="C86" s="34" t="s">
        <v>162</v>
      </c>
      <c r="D86" s="34"/>
      <c r="E86" s="33">
        <f>C86+D86</f>
        <v>4737</v>
      </c>
      <c r="F86" s="33">
        <f>F87</f>
        <v>4940</v>
      </c>
      <c r="G86" s="33">
        <v>4600</v>
      </c>
      <c r="H86" s="33">
        <f>H87</f>
        <v>5430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13" customFormat="1" ht="15">
      <c r="A87" s="15" t="s">
        <v>163</v>
      </c>
      <c r="B87" s="11" t="s">
        <v>164</v>
      </c>
      <c r="C87" s="34" t="s">
        <v>162</v>
      </c>
      <c r="D87" s="34"/>
      <c r="E87" s="34">
        <f>C87+D87</f>
        <v>4737</v>
      </c>
      <c r="F87" s="34">
        <f>F88</f>
        <v>4940</v>
      </c>
      <c r="G87" s="34">
        <v>4600</v>
      </c>
      <c r="H87" s="34">
        <f>H88</f>
        <v>5430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13" customFormat="1" ht="15">
      <c r="A88" s="15" t="s">
        <v>165</v>
      </c>
      <c r="B88" s="11" t="s">
        <v>166</v>
      </c>
      <c r="C88" s="34" t="s">
        <v>162</v>
      </c>
      <c r="D88" s="34"/>
      <c r="E88" s="34">
        <f>C88+D88</f>
        <v>4737</v>
      </c>
      <c r="F88" s="34">
        <v>4940</v>
      </c>
      <c r="G88" s="34">
        <v>4600</v>
      </c>
      <c r="H88" s="34">
        <v>5430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13" customFormat="1" ht="14.25">
      <c r="A89" s="16" t="s">
        <v>167</v>
      </c>
      <c r="B89" s="17" t="s">
        <v>168</v>
      </c>
      <c r="C89" s="33" t="e">
        <f>C90+C96</f>
        <v>#REF!</v>
      </c>
      <c r="D89" s="33" t="e">
        <f>D90+D96</f>
        <v>#REF!</v>
      </c>
      <c r="E89" s="33">
        <v>9674980</v>
      </c>
      <c r="F89" s="33">
        <f>F90+F96</f>
        <v>10117804</v>
      </c>
      <c r="G89" s="33">
        <f>G90+G96</f>
        <v>10357594</v>
      </c>
      <c r="H89" s="33">
        <f>H90+H96</f>
        <v>10441586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s="13" customFormat="1" ht="15">
      <c r="A90" s="15" t="s">
        <v>169</v>
      </c>
      <c r="B90" s="11" t="s">
        <v>170</v>
      </c>
      <c r="C90" s="34">
        <f>C91</f>
        <v>5173222</v>
      </c>
      <c r="D90" s="34">
        <f>D91</f>
        <v>4371528</v>
      </c>
      <c r="E90" s="33">
        <v>9544750</v>
      </c>
      <c r="F90" s="33">
        <f>F91</f>
        <v>9989574</v>
      </c>
      <c r="G90" s="33">
        <f>G91</f>
        <v>10246794</v>
      </c>
      <c r="H90" s="33">
        <f>H91</f>
        <v>10308486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s="13" customFormat="1" ht="25.5">
      <c r="A91" s="15" t="s">
        <v>171</v>
      </c>
      <c r="B91" s="11" t="s">
        <v>172</v>
      </c>
      <c r="C91" s="34">
        <f>C92+C93+C94+C95</f>
        <v>5173222</v>
      </c>
      <c r="D91" s="34">
        <f>D92+D93+D94+D95</f>
        <v>4371528</v>
      </c>
      <c r="E91" s="33">
        <v>9544750</v>
      </c>
      <c r="F91" s="33">
        <f>F92+F93+F94+F95</f>
        <v>9989574</v>
      </c>
      <c r="G91" s="33">
        <f>G92+G93+G94+G95</f>
        <v>10246794</v>
      </c>
      <c r="H91" s="33">
        <f>SUM(H92:H95)</f>
        <v>10308486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s="13" customFormat="1" ht="25.5">
      <c r="A92" s="15" t="s">
        <v>173</v>
      </c>
      <c r="B92" s="11" t="s">
        <v>174</v>
      </c>
      <c r="C92" s="34">
        <v>56515</v>
      </c>
      <c r="D92" s="34">
        <f>4185391</f>
        <v>4185391</v>
      </c>
      <c r="E92" s="34">
        <v>4241906</v>
      </c>
      <c r="F92" s="34">
        <f>4323951+133720</f>
        <v>4457671</v>
      </c>
      <c r="G92" s="34">
        <v>4560705</v>
      </c>
      <c r="H92" s="34">
        <f>135000+4774824</f>
        <v>4909824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s="13" customFormat="1" ht="63.75">
      <c r="A93" s="15" t="s">
        <v>175</v>
      </c>
      <c r="B93" s="11" t="s">
        <v>176</v>
      </c>
      <c r="C93" s="34" t="s">
        <v>177</v>
      </c>
      <c r="D93" s="34">
        <f>140000</f>
        <v>140000</v>
      </c>
      <c r="E93" s="34">
        <f>C93+D93</f>
        <v>162278</v>
      </c>
      <c r="F93" s="34">
        <v>0</v>
      </c>
      <c r="G93" s="34">
        <v>1028</v>
      </c>
      <c r="H93" s="34">
        <f>54357+150228</f>
        <v>204585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s="13" customFormat="1" ht="25.5">
      <c r="A94" s="15" t="s">
        <v>178</v>
      </c>
      <c r="B94" s="11" t="s">
        <v>179</v>
      </c>
      <c r="C94" s="34">
        <v>4992474</v>
      </c>
      <c r="D94" s="34">
        <f>67298</f>
        <v>67298</v>
      </c>
      <c r="E94" s="34">
        <f>C94+D94</f>
        <v>5059772</v>
      </c>
      <c r="F94" s="34">
        <v>4778133</v>
      </c>
      <c r="G94" s="34">
        <v>5644557</v>
      </c>
      <c r="H94" s="34">
        <f>5188380</f>
        <v>5188380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s="13" customFormat="1" ht="25.5">
      <c r="A95" s="15" t="s">
        <v>180</v>
      </c>
      <c r="B95" s="11" t="s">
        <v>181</v>
      </c>
      <c r="C95" s="34">
        <v>101955</v>
      </c>
      <c r="D95" s="34">
        <f>-21161</f>
        <v>-21161</v>
      </c>
      <c r="E95" s="34">
        <f>C95+D95</f>
        <v>80794</v>
      </c>
      <c r="F95" s="34">
        <f>708266+45504</f>
        <v>753770</v>
      </c>
      <c r="G95" s="34">
        <v>40504</v>
      </c>
      <c r="H95" s="34">
        <f>5697</f>
        <v>5697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13" customFormat="1" ht="15">
      <c r="A96" s="15" t="s">
        <v>182</v>
      </c>
      <c r="B96" s="11" t="s">
        <v>183</v>
      </c>
      <c r="C96" s="34" t="e">
        <f>#REF!+C97+C98</f>
        <v>#REF!</v>
      </c>
      <c r="D96" s="34" t="e">
        <f>#REF!+D98</f>
        <v>#REF!</v>
      </c>
      <c r="E96" s="33">
        <v>130230</v>
      </c>
      <c r="F96" s="33">
        <f>F97</f>
        <v>128230</v>
      </c>
      <c r="G96" s="33">
        <f>G97</f>
        <v>110800</v>
      </c>
      <c r="H96" s="33">
        <f>H97</f>
        <v>133100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13" customFormat="1" ht="25.5">
      <c r="A97" s="15" t="s">
        <v>184</v>
      </c>
      <c r="B97" s="11" t="s">
        <v>185</v>
      </c>
      <c r="C97" s="34">
        <v>130230</v>
      </c>
      <c r="D97" s="34"/>
      <c r="E97" s="34">
        <f>C97+D97</f>
        <v>130230</v>
      </c>
      <c r="F97" s="34">
        <f>119500+8730</f>
        <v>128230</v>
      </c>
      <c r="G97" s="34">
        <v>110800</v>
      </c>
      <c r="H97" s="34">
        <f>3100+130000</f>
        <v>133100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13" customFormat="1" ht="15">
      <c r="A98" s="15" t="s">
        <v>289</v>
      </c>
      <c r="B98" s="11" t="s">
        <v>290</v>
      </c>
      <c r="C98" s="34"/>
      <c r="D98" s="34"/>
      <c r="E98" s="34">
        <v>130230</v>
      </c>
      <c r="F98" s="34">
        <v>128230</v>
      </c>
      <c r="G98" s="34">
        <v>110800</v>
      </c>
      <c r="H98" s="34">
        <v>133100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13" customFormat="1" ht="14.25">
      <c r="A99" s="16" t="s">
        <v>0</v>
      </c>
      <c r="B99" s="17" t="s">
        <v>1</v>
      </c>
      <c r="C99" s="33">
        <f>C101+C102+C103+C104+C105+C106+C107+C108</f>
        <v>16956975</v>
      </c>
      <c r="D99" s="33">
        <f>D102+D103+D108</f>
        <v>5535208</v>
      </c>
      <c r="E99" s="33">
        <v>22613921</v>
      </c>
      <c r="F99" s="33">
        <f>F100</f>
        <v>22969090</v>
      </c>
      <c r="G99" s="33">
        <f>G100</f>
        <v>25860537</v>
      </c>
      <c r="H99" s="33">
        <f>H100</f>
        <v>25313227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13" customFormat="1" ht="25.5">
      <c r="A100" s="16" t="s">
        <v>7</v>
      </c>
      <c r="B100" s="17" t="s">
        <v>8</v>
      </c>
      <c r="C100" s="33"/>
      <c r="D100" s="33"/>
      <c r="E100" s="33">
        <v>22613921</v>
      </c>
      <c r="F100" s="33">
        <f>SUM(F101:F108)</f>
        <v>22969090</v>
      </c>
      <c r="G100" s="33">
        <f>SUM(G101:G108)</f>
        <v>25860537</v>
      </c>
      <c r="H100" s="33">
        <f>SUM(H101:H108)</f>
        <v>25313227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13" customFormat="1" ht="15">
      <c r="A101" s="15" t="s">
        <v>186</v>
      </c>
      <c r="B101" s="11" t="s">
        <v>187</v>
      </c>
      <c r="C101" s="34" t="s">
        <v>188</v>
      </c>
      <c r="D101" s="34"/>
      <c r="E101" s="34">
        <f>C101+D101</f>
        <v>131300</v>
      </c>
      <c r="F101" s="34">
        <v>138500</v>
      </c>
      <c r="G101" s="34">
        <v>144500</v>
      </c>
      <c r="H101" s="34">
        <f>138703</f>
        <v>138703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13" customFormat="1" ht="15">
      <c r="A102" s="15" t="s">
        <v>189</v>
      </c>
      <c r="B102" s="11" t="s">
        <v>190</v>
      </c>
      <c r="C102" s="34">
        <v>5960156</v>
      </c>
      <c r="D102" s="34">
        <f>578665+4151106+18184</f>
        <v>4747955</v>
      </c>
      <c r="E102" s="34">
        <v>10757846</v>
      </c>
      <c r="F102" s="34">
        <f>9798405+825342</f>
        <v>10623747</v>
      </c>
      <c r="G102" s="34">
        <v>13706772</v>
      </c>
      <c r="H102" s="34">
        <f>10462402+3585028</f>
        <v>14047430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13" customFormat="1" ht="15">
      <c r="A103" s="15" t="s">
        <v>191</v>
      </c>
      <c r="B103" s="11" t="s">
        <v>192</v>
      </c>
      <c r="C103" s="34">
        <v>2251833</v>
      </c>
      <c r="D103" s="34">
        <f>107859+13294</f>
        <v>121153</v>
      </c>
      <c r="E103" s="34">
        <v>2375955</v>
      </c>
      <c r="F103" s="34">
        <f>2194294+322356</f>
        <v>2516650</v>
      </c>
      <c r="G103" s="34">
        <v>2975093</v>
      </c>
      <c r="H103" s="34">
        <f>2325880+509988</f>
        <v>2835868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13" customFormat="1" ht="15">
      <c r="A104" s="15" t="s">
        <v>193</v>
      </c>
      <c r="B104" s="11" t="s">
        <v>194</v>
      </c>
      <c r="C104" s="34" t="s">
        <v>195</v>
      </c>
      <c r="D104" s="34"/>
      <c r="E104" s="34">
        <f>C104+D104</f>
        <v>22035</v>
      </c>
      <c r="F104" s="34">
        <v>23454</v>
      </c>
      <c r="G104" s="34">
        <v>24565</v>
      </c>
      <c r="H104" s="34">
        <f>17640</f>
        <v>17640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s="13" customFormat="1" ht="15">
      <c r="A105" s="15" t="s">
        <v>196</v>
      </c>
      <c r="B105" s="11" t="s">
        <v>197</v>
      </c>
      <c r="C105" s="34">
        <v>1800827</v>
      </c>
      <c r="D105" s="34"/>
      <c r="E105" s="34">
        <f>C105+D105</f>
        <v>1800827</v>
      </c>
      <c r="F105" s="34">
        <v>1693347</v>
      </c>
      <c r="G105" s="34">
        <v>1542510</v>
      </c>
      <c r="H105" s="34">
        <v>1506976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s="13" customFormat="1" ht="15">
      <c r="A106" s="15" t="s">
        <v>198</v>
      </c>
      <c r="B106" s="11" t="s">
        <v>199</v>
      </c>
      <c r="C106" s="34">
        <v>1987254</v>
      </c>
      <c r="D106" s="34"/>
      <c r="E106" s="34">
        <v>2060925</v>
      </c>
      <c r="F106" s="34">
        <f>2261458+50000</f>
        <v>2311458</v>
      </c>
      <c r="G106" s="34">
        <v>2247667</v>
      </c>
      <c r="H106" s="34">
        <f>1866961+64680</f>
        <v>1931641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s="13" customFormat="1" ht="15">
      <c r="A107" s="15" t="s">
        <v>200</v>
      </c>
      <c r="B107" s="11" t="s">
        <v>201</v>
      </c>
      <c r="C107" s="34">
        <v>352654</v>
      </c>
      <c r="D107" s="34"/>
      <c r="E107" s="34">
        <f>C107+D107</f>
        <v>352654</v>
      </c>
      <c r="F107" s="34">
        <f>4540+195056</f>
        <v>199596</v>
      </c>
      <c r="G107" s="34">
        <v>200578</v>
      </c>
      <c r="H107" s="34">
        <f>4584+238096</f>
        <v>242680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s="13" customFormat="1" ht="15">
      <c r="A108" s="15" t="s">
        <v>202</v>
      </c>
      <c r="B108" s="11" t="s">
        <v>203</v>
      </c>
      <c r="C108" s="34">
        <v>4450916</v>
      </c>
      <c r="D108" s="34">
        <f>619272+51828-5000</f>
        <v>666100</v>
      </c>
      <c r="E108" s="34">
        <v>5112379</v>
      </c>
      <c r="F108" s="34">
        <f>1515126+3947212</f>
        <v>5462338</v>
      </c>
      <c r="G108" s="34">
        <v>5018852</v>
      </c>
      <c r="H108" s="34">
        <f>1399512+3192777</f>
        <v>4592289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s="13" customFormat="1" ht="25.5">
      <c r="A109" s="15" t="s">
        <v>7</v>
      </c>
      <c r="B109" s="17" t="s">
        <v>9</v>
      </c>
      <c r="C109" s="33">
        <f>C110+C130</f>
        <v>16956975</v>
      </c>
      <c r="D109" s="33">
        <f>D110+D130</f>
        <v>5535208</v>
      </c>
      <c r="E109" s="33">
        <v>22613921</v>
      </c>
      <c r="F109" s="33">
        <f>F110+F130</f>
        <v>22969090</v>
      </c>
      <c r="G109" s="33">
        <f>G110+G130</f>
        <v>25860537</v>
      </c>
      <c r="H109" s="33">
        <f>H110+H130</f>
        <v>25313227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s="13" customFormat="1" ht="15">
      <c r="A110" s="15" t="s">
        <v>10</v>
      </c>
      <c r="B110" s="11" t="s">
        <v>204</v>
      </c>
      <c r="C110" s="34">
        <f>C111+C121+C124+C128</f>
        <v>16193789</v>
      </c>
      <c r="D110" s="34">
        <f>D111+D121+D124</f>
        <v>4393670</v>
      </c>
      <c r="E110" s="33">
        <v>20700860</v>
      </c>
      <c r="F110" s="33">
        <f>F111+F121+F124+F128</f>
        <v>20551872</v>
      </c>
      <c r="G110" s="33">
        <f>G111+G121+G124+G128</f>
        <v>21130382</v>
      </c>
      <c r="H110" s="33">
        <f>H111+H121+H124+H128</f>
        <v>21868520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s="13" customFormat="1" ht="15">
      <c r="A111" s="15" t="s">
        <v>14</v>
      </c>
      <c r="B111" s="11" t="s">
        <v>205</v>
      </c>
      <c r="C111" s="34">
        <f>C112+C115</f>
        <v>14536851</v>
      </c>
      <c r="D111" s="34">
        <f>D112+D115</f>
        <v>4253669</v>
      </c>
      <c r="E111" s="33">
        <v>18845921</v>
      </c>
      <c r="F111" s="33">
        <f>F112+F115</f>
        <v>19116663</v>
      </c>
      <c r="G111" s="33">
        <f>G112+G115</f>
        <v>19799630</v>
      </c>
      <c r="H111" s="33">
        <f>H112+H115</f>
        <v>20356962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s="13" customFormat="1" ht="15">
      <c r="A112" s="22" t="s">
        <v>206</v>
      </c>
      <c r="B112" s="23" t="s">
        <v>207</v>
      </c>
      <c r="C112" s="35">
        <f>C113+C114</f>
        <v>6761739</v>
      </c>
      <c r="D112" s="35">
        <f>D113+D114</f>
        <v>3834339</v>
      </c>
      <c r="E112" s="33">
        <v>10600840</v>
      </c>
      <c r="F112" s="33">
        <f>F113+F114</f>
        <v>11753936</v>
      </c>
      <c r="G112" s="33">
        <f>G113+G114</f>
        <v>12027460</v>
      </c>
      <c r="H112" s="33">
        <f>H113+H114</f>
        <v>12662192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s="13" customFormat="1" ht="15">
      <c r="A113" s="15" t="s">
        <v>208</v>
      </c>
      <c r="B113" s="11" t="s">
        <v>209</v>
      </c>
      <c r="C113" s="34">
        <v>5455553</v>
      </c>
      <c r="D113" s="34">
        <f>4200+3089132</f>
        <v>3093332</v>
      </c>
      <c r="E113" s="34">
        <v>8552734</v>
      </c>
      <c r="F113" s="34">
        <f>8116022+1161694</f>
        <v>9277716</v>
      </c>
      <c r="G113" s="34">
        <v>9500895</v>
      </c>
      <c r="H113" s="34">
        <f>8687225+1333164</f>
        <v>10020389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s="13" customFormat="1" ht="38.25">
      <c r="A114" s="15" t="s">
        <v>210</v>
      </c>
      <c r="B114" s="11" t="s">
        <v>211</v>
      </c>
      <c r="C114" s="34">
        <v>1306186</v>
      </c>
      <c r="D114" s="34">
        <f>1000+721823+18184</f>
        <v>741007</v>
      </c>
      <c r="E114" s="34">
        <v>2048106</v>
      </c>
      <c r="F114" s="34">
        <f>1916189+560031</f>
        <v>2476220</v>
      </c>
      <c r="G114" s="34">
        <v>2526565</v>
      </c>
      <c r="H114" s="34">
        <f>2084905+556898</f>
        <v>2641803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s="13" customFormat="1" ht="15">
      <c r="A115" s="22" t="s">
        <v>212</v>
      </c>
      <c r="B115" s="23" t="s">
        <v>213</v>
      </c>
      <c r="C115" s="35">
        <f>C116+C117+C118+C119+C120</f>
        <v>7775112</v>
      </c>
      <c r="D115" s="35">
        <f>D116+D117+D118+D119+D120</f>
        <v>419330</v>
      </c>
      <c r="E115" s="33">
        <v>8245081</v>
      </c>
      <c r="F115" s="33">
        <f>F116+F117+F118+F119+F120</f>
        <v>7362727</v>
      </c>
      <c r="G115" s="33">
        <f>G116+G117+G118+G119+G120</f>
        <v>7772170</v>
      </c>
      <c r="H115" s="33">
        <f>H116+H117+H118+H119+H120</f>
        <v>7694770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s="13" customFormat="1" ht="25.5">
      <c r="A116" s="15" t="s">
        <v>214</v>
      </c>
      <c r="B116" s="11" t="s">
        <v>215</v>
      </c>
      <c r="C116" s="34">
        <v>39867</v>
      </c>
      <c r="D116" s="34">
        <f>4300+1524</f>
        <v>5824</v>
      </c>
      <c r="E116" s="34">
        <v>45691</v>
      </c>
      <c r="F116" s="34">
        <f>45814+8889</f>
        <v>54703</v>
      </c>
      <c r="G116" s="34">
        <v>60192</v>
      </c>
      <c r="H116" s="34">
        <f>88104+23600</f>
        <v>111704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s="13" customFormat="1" ht="15">
      <c r="A117" s="15" t="s">
        <v>216</v>
      </c>
      <c r="B117" s="11" t="s">
        <v>217</v>
      </c>
      <c r="C117" s="34">
        <v>6058000</v>
      </c>
      <c r="D117" s="34">
        <f>36476+221877-5000</f>
        <v>253353</v>
      </c>
      <c r="E117" s="34">
        <v>6310675</v>
      </c>
      <c r="F117" s="34">
        <f>2616048+2685305</f>
        <v>5301353</v>
      </c>
      <c r="G117" s="34">
        <v>5810031</v>
      </c>
      <c r="H117" s="34">
        <f>2366510+3217733</f>
        <v>5584243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s="13" customFormat="1" ht="38.25">
      <c r="A118" s="15" t="s">
        <v>218</v>
      </c>
      <c r="B118" s="11" t="s">
        <v>219</v>
      </c>
      <c r="C118" s="34">
        <v>1623263</v>
      </c>
      <c r="D118" s="34">
        <v>159953</v>
      </c>
      <c r="E118" s="34">
        <v>1834733</v>
      </c>
      <c r="F118" s="34">
        <f>1650701+301938</f>
        <v>1952639</v>
      </c>
      <c r="G118" s="34">
        <v>1847895</v>
      </c>
      <c r="H118" s="34">
        <f>1666207+288630</f>
        <v>1954837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s="13" customFormat="1" ht="15">
      <c r="A119" s="15" t="s">
        <v>220</v>
      </c>
      <c r="B119" s="11" t="s">
        <v>221</v>
      </c>
      <c r="C119" s="34">
        <v>21096</v>
      </c>
      <c r="D119" s="34"/>
      <c r="E119" s="34">
        <v>21496</v>
      </c>
      <c r="F119" s="34">
        <f>22199+727</f>
        <v>22926</v>
      </c>
      <c r="G119" s="34">
        <v>23282</v>
      </c>
      <c r="H119" s="34">
        <f>22411+800</f>
        <v>23211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s="13" customFormat="1" ht="38.25">
      <c r="A120" s="15" t="s">
        <v>222</v>
      </c>
      <c r="B120" s="11" t="s">
        <v>223</v>
      </c>
      <c r="C120" s="34">
        <v>32886</v>
      </c>
      <c r="D120" s="34">
        <v>200</v>
      </c>
      <c r="E120" s="34">
        <v>32486</v>
      </c>
      <c r="F120" s="34">
        <v>31106</v>
      </c>
      <c r="G120" s="34">
        <v>30770</v>
      </c>
      <c r="H120" s="34">
        <f>20775</f>
        <v>20775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s="13" customFormat="1" ht="15">
      <c r="A121" s="22" t="s">
        <v>225</v>
      </c>
      <c r="B121" s="23" t="s">
        <v>224</v>
      </c>
      <c r="C121" s="35">
        <v>285850</v>
      </c>
      <c r="D121" s="35"/>
      <c r="E121" s="33">
        <v>285850</v>
      </c>
      <c r="F121" s="33">
        <f>F122+F123</f>
        <v>120500</v>
      </c>
      <c r="G121" s="33">
        <f>G122+G123</f>
        <v>90300</v>
      </c>
      <c r="H121" s="33">
        <f>H122+H123</f>
        <v>80200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s="13" customFormat="1" ht="15">
      <c r="A122" s="15" t="s">
        <v>226</v>
      </c>
      <c r="B122" s="11" t="s">
        <v>227</v>
      </c>
      <c r="C122" s="34">
        <v>850</v>
      </c>
      <c r="D122" s="34"/>
      <c r="E122" s="34">
        <v>850</v>
      </c>
      <c r="F122" s="34">
        <v>500</v>
      </c>
      <c r="G122" s="34">
        <v>300</v>
      </c>
      <c r="H122" s="34">
        <f>200</f>
        <v>200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s="13" customFormat="1" ht="15">
      <c r="A123" s="15" t="s">
        <v>228</v>
      </c>
      <c r="B123" s="11" t="s">
        <v>229</v>
      </c>
      <c r="C123" s="34">
        <v>285000</v>
      </c>
      <c r="D123" s="34"/>
      <c r="E123" s="34">
        <v>285000</v>
      </c>
      <c r="F123" s="34">
        <v>120000</v>
      </c>
      <c r="G123" s="34">
        <v>90000</v>
      </c>
      <c r="H123" s="34">
        <v>80000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s="25" customFormat="1" ht="15">
      <c r="A124" s="22" t="s">
        <v>230</v>
      </c>
      <c r="B124" s="23" t="s">
        <v>231</v>
      </c>
      <c r="C124" s="35">
        <v>1107588</v>
      </c>
      <c r="D124" s="35">
        <f>D125+D127</f>
        <v>140001</v>
      </c>
      <c r="E124" s="33">
        <v>1305589</v>
      </c>
      <c r="F124" s="33">
        <f>F125+F127</f>
        <v>1059709</v>
      </c>
      <c r="G124" s="33">
        <f>G125+G126+G127</f>
        <v>1030452</v>
      </c>
      <c r="H124" s="33">
        <f>H125+H126+H127</f>
        <v>1181358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s="13" customFormat="1" ht="15">
      <c r="A125" s="15" t="s">
        <v>232</v>
      </c>
      <c r="B125" s="11" t="s">
        <v>233</v>
      </c>
      <c r="C125" s="34">
        <v>875371</v>
      </c>
      <c r="D125" s="34">
        <v>140001</v>
      </c>
      <c r="E125" s="34">
        <v>1068357</v>
      </c>
      <c r="F125" s="34">
        <f>827956</f>
        <v>827956</v>
      </c>
      <c r="G125" s="34">
        <v>748852</v>
      </c>
      <c r="H125" s="34">
        <f>479210+108011</f>
        <v>587221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s="13" customFormat="1" ht="15">
      <c r="A126" s="15" t="s">
        <v>273</v>
      </c>
      <c r="B126" s="11" t="s">
        <v>274</v>
      </c>
      <c r="C126" s="34"/>
      <c r="D126" s="34"/>
      <c r="E126" s="34"/>
      <c r="F126" s="34"/>
      <c r="G126" s="34">
        <v>14640</v>
      </c>
      <c r="H126" s="34">
        <f>154606</f>
        <v>154606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s="13" customFormat="1" ht="25.5">
      <c r="A127" s="15" t="s">
        <v>234</v>
      </c>
      <c r="B127" s="11" t="s">
        <v>235</v>
      </c>
      <c r="C127" s="34" t="e">
        <f>#REF!+#REF!</f>
        <v>#REF!</v>
      </c>
      <c r="D127" s="34"/>
      <c r="E127" s="34">
        <v>237232</v>
      </c>
      <c r="F127" s="34">
        <v>231753</v>
      </c>
      <c r="G127" s="34">
        <v>266960</v>
      </c>
      <c r="H127" s="34">
        <f>423531+16000</f>
        <v>439531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s="25" customFormat="1" ht="40.5">
      <c r="A128" s="22" t="s">
        <v>236</v>
      </c>
      <c r="B128" s="23" t="s">
        <v>237</v>
      </c>
      <c r="C128" s="35">
        <v>263500</v>
      </c>
      <c r="D128" s="35"/>
      <c r="E128" s="33">
        <f>C128+D128</f>
        <v>263500</v>
      </c>
      <c r="F128" s="33">
        <f>F129</f>
        <v>255000</v>
      </c>
      <c r="G128" s="33">
        <f>G129</f>
        <v>210000</v>
      </c>
      <c r="H128" s="33">
        <f>H129</f>
        <v>250000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s="13" customFormat="1" ht="15">
      <c r="A129" s="15" t="s">
        <v>238</v>
      </c>
      <c r="B129" s="11" t="s">
        <v>239</v>
      </c>
      <c r="C129" s="34">
        <v>263500</v>
      </c>
      <c r="D129" s="34"/>
      <c r="E129" s="34">
        <f>C129+D129</f>
        <v>263500</v>
      </c>
      <c r="F129" s="34">
        <v>255000</v>
      </c>
      <c r="G129" s="34">
        <v>210000</v>
      </c>
      <c r="H129" s="34">
        <v>250000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s="13" customFormat="1" ht="15">
      <c r="A130" s="22" t="s">
        <v>52</v>
      </c>
      <c r="B130" s="23" t="s">
        <v>240</v>
      </c>
      <c r="C130" s="35">
        <f>C131</f>
        <v>763186</v>
      </c>
      <c r="D130" s="35">
        <f>D131</f>
        <v>1141538</v>
      </c>
      <c r="E130" s="33">
        <v>1913061</v>
      </c>
      <c r="F130" s="33">
        <f>F131</f>
        <v>2417218</v>
      </c>
      <c r="G130" s="33">
        <f>G131</f>
        <v>4730155</v>
      </c>
      <c r="H130" s="33">
        <f>H131</f>
        <v>3444707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s="13" customFormat="1" ht="15">
      <c r="A131" s="15" t="s">
        <v>242</v>
      </c>
      <c r="B131" s="11" t="s">
        <v>241</v>
      </c>
      <c r="C131" s="34">
        <f>C132+C133</f>
        <v>763186</v>
      </c>
      <c r="D131" s="34">
        <f>D132+D133</f>
        <v>1141538</v>
      </c>
      <c r="E131" s="34">
        <v>1913061</v>
      </c>
      <c r="F131" s="34">
        <f>F132+F133</f>
        <v>2417218</v>
      </c>
      <c r="G131" s="34">
        <f>G132+G133</f>
        <v>4730155</v>
      </c>
      <c r="H131" s="34">
        <f>H132+H133</f>
        <v>3444707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s="13" customFormat="1" ht="15">
      <c r="A132" s="15" t="s">
        <v>243</v>
      </c>
      <c r="B132" s="11" t="s">
        <v>244</v>
      </c>
      <c r="C132" s="34">
        <v>180</v>
      </c>
      <c r="D132" s="34"/>
      <c r="E132" s="34">
        <f>C132+D132</f>
        <v>180</v>
      </c>
      <c r="F132" s="34">
        <f>199+17212</f>
        <v>17411</v>
      </c>
      <c r="G132" s="34">
        <v>15385</v>
      </c>
      <c r="H132" s="34">
        <f>438+2000</f>
        <v>2438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s="13" customFormat="1" ht="15">
      <c r="A133" s="15" t="s">
        <v>245</v>
      </c>
      <c r="B133" s="11" t="s">
        <v>246</v>
      </c>
      <c r="C133" s="34">
        <v>763006</v>
      </c>
      <c r="D133" s="34">
        <f>1119819+21719</f>
        <v>1141538</v>
      </c>
      <c r="E133" s="34">
        <v>1877299</v>
      </c>
      <c r="F133" s="34">
        <f>477290+1922517</f>
        <v>2399807</v>
      </c>
      <c r="G133" s="34">
        <v>4714770</v>
      </c>
      <c r="H133" s="34">
        <f>221560+3220709</f>
        <v>3442269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s="5" customFormat="1" ht="25.5">
      <c r="A134" s="16" t="s">
        <v>247</v>
      </c>
      <c r="B134" s="17" t="s">
        <v>4</v>
      </c>
      <c r="C134" s="33" t="e">
        <f>C9-C99</f>
        <v>#REF!</v>
      </c>
      <c r="D134" s="33" t="e">
        <f>D9-D99</f>
        <v>#REF!</v>
      </c>
      <c r="E134" s="33">
        <v>-1943144</v>
      </c>
      <c r="F134" s="33">
        <f>F9-F99</f>
        <v>-1574966</v>
      </c>
      <c r="G134" s="33">
        <f>G9-G99</f>
        <v>-3629541</v>
      </c>
      <c r="H134" s="33">
        <f>H9-H99</f>
        <v>-1809067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s="5" customFormat="1" ht="14.25">
      <c r="A135" s="16" t="s">
        <v>3</v>
      </c>
      <c r="B135" s="17" t="s">
        <v>5</v>
      </c>
      <c r="C135" s="33">
        <f>C136+C139+C142</f>
        <v>567842</v>
      </c>
      <c r="D135" s="33">
        <f>D136+D139+D142</f>
        <v>1230905</v>
      </c>
      <c r="E135" s="33">
        <v>1943144</v>
      </c>
      <c r="F135" s="33">
        <f>F136+F139</f>
        <v>1574966</v>
      </c>
      <c r="G135" s="33">
        <f>G136+G139</f>
        <v>3629541</v>
      </c>
      <c r="H135" s="33">
        <f>H136+H139</f>
        <v>1809067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s="3" customFormat="1" ht="13.5" customHeight="1">
      <c r="A136" s="10" t="s">
        <v>248</v>
      </c>
      <c r="B136" s="18" t="s">
        <v>249</v>
      </c>
      <c r="C136" s="34">
        <f>C137-C138</f>
        <v>1073387</v>
      </c>
      <c r="D136" s="34">
        <f>D137-D138</f>
        <v>1056206</v>
      </c>
      <c r="E136" s="33">
        <v>2261990</v>
      </c>
      <c r="F136" s="33">
        <f>F137-F138</f>
        <v>2224487</v>
      </c>
      <c r="G136" s="33">
        <f>G137-G138</f>
        <v>1492938</v>
      </c>
      <c r="H136" s="33">
        <f>H137-H138</f>
        <v>1515892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s="3" customFormat="1" ht="13.5" customHeight="1">
      <c r="A137" s="10" t="s">
        <v>250</v>
      </c>
      <c r="B137" s="18" t="s">
        <v>251</v>
      </c>
      <c r="C137" s="34">
        <v>1313396</v>
      </c>
      <c r="D137" s="34">
        <f>1179119+4779+161245-58200</f>
        <v>1286943</v>
      </c>
      <c r="E137" s="34">
        <v>2773298</v>
      </c>
      <c r="F137" s="34">
        <f>1052172+1402383</f>
        <v>2454555</v>
      </c>
      <c r="G137" s="34">
        <v>1744111</v>
      </c>
      <c r="H137" s="34">
        <f>419244+1257610</f>
        <v>1676854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s="3" customFormat="1" ht="13.5" customHeight="1">
      <c r="A138" s="10" t="s">
        <v>252</v>
      </c>
      <c r="B138" s="18" t="s">
        <v>253</v>
      </c>
      <c r="C138" s="34">
        <v>240009</v>
      </c>
      <c r="D138" s="34">
        <f>166049+4779+59909</f>
        <v>230737</v>
      </c>
      <c r="E138" s="34">
        <v>511308</v>
      </c>
      <c r="F138" s="34">
        <f>52924+177144</f>
        <v>230068</v>
      </c>
      <c r="G138" s="34">
        <v>251173</v>
      </c>
      <c r="H138" s="34">
        <f>23753+149837-12628</f>
        <v>160962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3" customFormat="1" ht="13.5" customHeight="1">
      <c r="A139" s="10" t="s">
        <v>254</v>
      </c>
      <c r="B139" s="18" t="s">
        <v>255</v>
      </c>
      <c r="C139" s="34">
        <f>C140-C141</f>
        <v>-499545</v>
      </c>
      <c r="D139" s="34">
        <f>D140-D141</f>
        <v>174699</v>
      </c>
      <c r="E139" s="33">
        <f>C139+D139</f>
        <v>-324846</v>
      </c>
      <c r="F139" s="33">
        <f>F140-F141</f>
        <v>-649521</v>
      </c>
      <c r="G139" s="33">
        <f>G140-G141</f>
        <v>2136603</v>
      </c>
      <c r="H139" s="33">
        <f>H140-H141</f>
        <v>293175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s="3" customFormat="1" ht="13.5" customHeight="1">
      <c r="A140" s="10" t="s">
        <v>256</v>
      </c>
      <c r="B140" s="18" t="s">
        <v>257</v>
      </c>
      <c r="C140" s="34">
        <v>350000</v>
      </c>
      <c r="D140" s="34">
        <v>217199</v>
      </c>
      <c r="E140" s="34">
        <f>C140+D140</f>
        <v>567199</v>
      </c>
      <c r="F140" s="34">
        <v>240633</v>
      </c>
      <c r="G140" s="34">
        <v>3332084</v>
      </c>
      <c r="H140" s="34">
        <v>1778493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s="3" customFormat="1" ht="13.5" customHeight="1">
      <c r="A141" s="10" t="s">
        <v>258</v>
      </c>
      <c r="B141" s="18" t="s">
        <v>259</v>
      </c>
      <c r="C141" s="34">
        <v>849545</v>
      </c>
      <c r="D141" s="34">
        <v>42500</v>
      </c>
      <c r="E141" s="34">
        <f>C141+D141</f>
        <v>892045</v>
      </c>
      <c r="F141" s="34">
        <f>10046+880108</f>
        <v>890154</v>
      </c>
      <c r="G141" s="34">
        <v>1195481</v>
      </c>
      <c r="H141" s="34">
        <f>10046+1475272</f>
        <v>1485318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s="3" customFormat="1" ht="13.5" customHeight="1">
      <c r="A142" s="10" t="s">
        <v>260</v>
      </c>
      <c r="B142" s="18" t="s">
        <v>264</v>
      </c>
      <c r="C142" s="34">
        <f>-C143</f>
        <v>-6000</v>
      </c>
      <c r="D142" s="34"/>
      <c r="E142" s="33">
        <f>C142+D142</f>
        <v>-6000</v>
      </c>
      <c r="F142" s="34"/>
      <c r="G142" s="34"/>
      <c r="H142" s="3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3" customFormat="1" ht="20.25" customHeight="1">
      <c r="A143" s="10" t="s">
        <v>262</v>
      </c>
      <c r="B143" s="18" t="s">
        <v>263</v>
      </c>
      <c r="C143" s="34" t="s">
        <v>261</v>
      </c>
      <c r="D143" s="34"/>
      <c r="E143" s="34">
        <f>C143+D143</f>
        <v>6000</v>
      </c>
      <c r="F143" s="33"/>
      <c r="G143" s="33"/>
      <c r="H143" s="3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3" ht="14.25">
      <c r="A144" s="5"/>
      <c r="B144" s="5"/>
      <c r="C144" s="36"/>
    </row>
    <row r="145" spans="1:3" ht="14.25">
      <c r="A145" s="5"/>
      <c r="B145" s="5"/>
      <c r="C145" s="36"/>
    </row>
    <row r="146" spans="1:3" ht="14.25">
      <c r="A146" s="5"/>
      <c r="B146" s="4"/>
      <c r="C146" s="36"/>
    </row>
    <row r="147" spans="1:3" ht="14.25">
      <c r="A147" s="5"/>
      <c r="B147" s="5"/>
      <c r="C147" s="36"/>
    </row>
    <row r="148" spans="1:3" ht="14.25">
      <c r="A148" s="5"/>
      <c r="B148" s="4"/>
      <c r="C148" s="36"/>
    </row>
    <row r="149" spans="1:3" ht="14.25">
      <c r="A149" s="5"/>
      <c r="B149" s="5"/>
      <c r="C149" s="36"/>
    </row>
    <row r="150" spans="1:3" ht="14.25">
      <c r="A150" s="5"/>
      <c r="B150" s="5"/>
      <c r="C150" s="36"/>
    </row>
    <row r="151" spans="1:3" ht="14.25">
      <c r="A151" s="5"/>
      <c r="B151" s="5"/>
      <c r="C151" s="36"/>
    </row>
    <row r="152" spans="1:3" ht="14.25">
      <c r="A152" s="5"/>
      <c r="B152" s="5"/>
      <c r="C152" s="36"/>
    </row>
    <row r="153" spans="1:3" ht="14.25">
      <c r="A153" s="5"/>
      <c r="B153" s="5"/>
      <c r="C153" s="36"/>
    </row>
    <row r="154" spans="1:3" ht="14.25">
      <c r="A154" s="5"/>
      <c r="B154" s="5"/>
      <c r="C154" s="36"/>
    </row>
    <row r="155" spans="1:3" ht="14.25">
      <c r="A155" s="5"/>
      <c r="B155" s="5"/>
      <c r="C155" s="36"/>
    </row>
    <row r="156" spans="1:3" ht="14.25">
      <c r="A156" s="5"/>
      <c r="B156" s="5"/>
      <c r="C156" s="36"/>
    </row>
    <row r="157" spans="1:3" ht="14.25">
      <c r="A157" s="5"/>
      <c r="B157" s="5"/>
      <c r="C157" s="36"/>
    </row>
    <row r="158" spans="1:19" ht="14.25">
      <c r="A158" s="5"/>
      <c r="B158" s="5"/>
      <c r="C158" s="36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4.25">
      <c r="A159" s="5"/>
      <c r="B159" s="5"/>
      <c r="C159" s="36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4.25">
      <c r="A160" s="5"/>
      <c r="B160" s="5"/>
      <c r="C160" s="36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4.25">
      <c r="A161" s="5"/>
      <c r="B161" s="5"/>
      <c r="C161" s="36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4.25">
      <c r="A162" s="5"/>
      <c r="B162" s="5"/>
      <c r="C162" s="36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4.25">
      <c r="A163" s="5"/>
      <c r="B163" s="5"/>
      <c r="C163" s="36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4.25">
      <c r="A164" s="5"/>
      <c r="B164" s="5"/>
      <c r="C164" s="36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4.25">
      <c r="A165" s="5"/>
      <c r="B165" s="5"/>
      <c r="C165" s="36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4.25">
      <c r="A166" s="5"/>
      <c r="B166" s="5"/>
      <c r="C166" s="3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4.25">
      <c r="A167" s="5"/>
      <c r="B167" s="5"/>
      <c r="C167" s="36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4.25">
      <c r="A168" s="5"/>
      <c r="B168" s="5"/>
      <c r="C168" s="36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4.25">
      <c r="A169" s="5"/>
      <c r="B169" s="5"/>
      <c r="C169" s="36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4.25">
      <c r="A170" s="5"/>
      <c r="B170" s="5"/>
      <c r="C170" s="36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</sheetData>
  <sheetProtection/>
  <printOptions/>
  <pageMargins left="0.7480314960629921" right="0.7480314960629921" top="0.984251968503937" bottom="0.984251968503937" header="0.5118110236220472" footer="0.5118110236220472"/>
  <pageSetup firstPageNumber="1" useFirstPageNumber="1" fitToHeight="0" horizontalDpi="600" verticalDpi="600" orientation="portrait" paperSize="9" scale="79" r:id="rId3"/>
  <headerFooter alignWithMargins="0">
    <oddFooter>&amp;L2PB_Pasv; Pārskats par pamatbudžeta izpildi&amp;R&amp;P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JelenaM</dc:creator>
  <cp:keywords/>
  <dc:description/>
  <cp:lastModifiedBy>Antra</cp:lastModifiedBy>
  <cp:lastPrinted>2017-01-19T07:24:14Z</cp:lastPrinted>
  <dcterms:created xsi:type="dcterms:W3CDTF">2009-09-24T06:24:41Z</dcterms:created>
  <dcterms:modified xsi:type="dcterms:W3CDTF">2017-01-26T07:28:12Z</dcterms:modified>
  <cp:category/>
  <cp:version/>
  <cp:contentType/>
  <cp:contentStatus/>
</cp:coreProperties>
</file>