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5" windowWidth="9000" windowHeight="4530" tabRatio="909" activeTab="3"/>
  </bookViews>
  <sheets>
    <sheet name="K" sheetId="183" r:id="rId1"/>
    <sheet name="O1" sheetId="182" r:id="rId2"/>
    <sheet name="1" sheetId="184" r:id="rId3"/>
    <sheet name="2" sheetId="190" r:id="rId4"/>
    <sheet name="3" sheetId="196" r:id="rId5"/>
    <sheet name="4" sheetId="202" r:id="rId6"/>
    <sheet name="5" sheetId="203" r:id="rId7"/>
  </sheets>
  <externalReferences>
    <externalReference r:id="rId8"/>
  </externalReferences>
  <definedNames>
    <definedName name="aaa" localSheetId="5">#REF!</definedName>
    <definedName name="aaa">#REF!</definedName>
    <definedName name="beigas" localSheetId="2">#REF!</definedName>
    <definedName name="beigas" localSheetId="3">#REF!</definedName>
    <definedName name="beigas" localSheetId="4">#REF!</definedName>
    <definedName name="beigas" localSheetId="5">#REF!</definedName>
    <definedName name="beigas" localSheetId="0">#REF!</definedName>
    <definedName name="beigas" localSheetId="1">#REF!</definedName>
    <definedName name="beigas">#REF!</definedName>
    <definedName name="_xlnm.Print_Area" localSheetId="2">'1'!$A$1:$P$49</definedName>
    <definedName name="_xlnm.Print_Area" localSheetId="3">'2'!$A$1:$P$401</definedName>
    <definedName name="_xlnm.Print_Area" localSheetId="4">'3'!$A$1:$P$64</definedName>
    <definedName name="_xlnm.Print_Area" localSheetId="5">'4'!$A$1:$P$93</definedName>
    <definedName name="_xlnm.Print_Area" localSheetId="1">'O1'!$A$1:$G$38</definedName>
  </definedNames>
  <calcPr calcId="145621"/>
</workbook>
</file>

<file path=xl/calcChain.xml><?xml version="1.0" encoding="utf-8"?>
<calcChain xmlns="http://schemas.openxmlformats.org/spreadsheetml/2006/main">
  <c r="A6" i="203" l="1"/>
  <c r="L13" i="203"/>
  <c r="A10" i="203"/>
  <c r="N31" i="203" l="1"/>
  <c r="N33" i="203" s="1"/>
  <c r="O31" i="203"/>
  <c r="O33" i="203" s="1"/>
  <c r="A10" i="202" l="1"/>
  <c r="A10" i="190"/>
  <c r="E388" i="190"/>
  <c r="E382" i="190"/>
  <c r="E237" i="190"/>
  <c r="E236" i="190"/>
  <c r="N85" i="202" l="1"/>
  <c r="P85" i="202" l="1"/>
  <c r="O85" i="202"/>
  <c r="E68" i="190" l="1"/>
  <c r="E45" i="190"/>
  <c r="E220" i="190"/>
  <c r="E256" i="190"/>
  <c r="E255" i="190"/>
  <c r="E254" i="190"/>
  <c r="E253" i="190"/>
  <c r="E251" i="190"/>
  <c r="E250" i="190"/>
  <c r="E247" i="190"/>
  <c r="E246" i="190"/>
  <c r="E248" i="190" s="1"/>
  <c r="E243" i="190"/>
  <c r="E245" i="190" s="1"/>
  <c r="E391" i="190"/>
  <c r="E244" i="190" l="1"/>
  <c r="E252" i="190"/>
  <c r="E249" i="190"/>
  <c r="E213" i="190" l="1"/>
  <c r="E212" i="190"/>
  <c r="E211" i="190"/>
  <c r="E210" i="190"/>
  <c r="E208" i="190"/>
  <c r="E209" i="190" s="1"/>
  <c r="E207" i="190"/>
  <c r="E204" i="190"/>
  <c r="E203" i="190"/>
  <c r="E205" i="190" s="1"/>
  <c r="E200" i="190"/>
  <c r="E202" i="190" s="1"/>
  <c r="E40" i="190"/>
  <c r="E42" i="190" s="1"/>
  <c r="E38" i="190"/>
  <c r="E37" i="190"/>
  <c r="E36" i="190"/>
  <c r="E35" i="190"/>
  <c r="E33" i="190"/>
  <c r="E34" i="190" s="1"/>
  <c r="E32" i="190"/>
  <c r="E29" i="190"/>
  <c r="E28" i="190"/>
  <c r="E30" i="190" s="1"/>
  <c r="E25" i="190"/>
  <c r="E206" i="190" l="1"/>
  <c r="E201" i="190"/>
  <c r="E41" i="190"/>
  <c r="E31" i="190"/>
  <c r="E26" i="190"/>
  <c r="E27" i="190"/>
  <c r="E363" i="190" l="1"/>
  <c r="E362" i="190"/>
  <c r="E292" i="190" l="1"/>
  <c r="E291" i="190"/>
  <c r="E171" i="190"/>
  <c r="E170" i="190"/>
  <c r="E102" i="190" l="1"/>
  <c r="E379" i="190" l="1"/>
  <c r="E378" i="190"/>
  <c r="E377" i="190"/>
  <c r="E375" i="190"/>
  <c r="E371" i="190"/>
  <c r="E372" i="190" s="1"/>
  <c r="E369" i="190"/>
  <c r="E367" i="190"/>
  <c r="E366" i="190"/>
  <c r="E365" i="190"/>
  <c r="E101" i="190"/>
  <c r="E276" i="190"/>
  <c r="E275" i="190"/>
  <c r="E271" i="190"/>
  <c r="E270" i="190"/>
  <c r="E272" i="190" l="1"/>
  <c r="E273" i="190" l="1"/>
  <c r="E306" i="190" l="1"/>
  <c r="E305" i="190"/>
  <c r="E303" i="190"/>
  <c r="E302" i="190"/>
  <c r="E301" i="190"/>
  <c r="E300" i="190"/>
  <c r="E299" i="190"/>
  <c r="E298" i="190"/>
  <c r="E296" i="190"/>
  <c r="E295" i="190"/>
  <c r="E294" i="190"/>
  <c r="E286" i="190"/>
  <c r="E287" i="190" s="1"/>
  <c r="E283" i="190"/>
  <c r="E282" i="190"/>
  <c r="E281" i="190"/>
  <c r="E279" i="190"/>
  <c r="E278" i="190"/>
  <c r="E267" i="190"/>
  <c r="E266" i="190"/>
  <c r="E265" i="190"/>
  <c r="E264" i="190"/>
  <c r="E262" i="190"/>
  <c r="E261" i="190"/>
  <c r="E260" i="190"/>
  <c r="E259" i="190"/>
  <c r="E258" i="190"/>
  <c r="E241" i="190"/>
  <c r="E239" i="190"/>
  <c r="E232" i="190"/>
  <c r="E231" i="190"/>
  <c r="E230" i="190"/>
  <c r="E229" i="190"/>
  <c r="E226" i="190"/>
  <c r="E224" i="190"/>
  <c r="E223" i="190"/>
  <c r="E222" i="190"/>
  <c r="E221" i="190"/>
  <c r="E219" i="190"/>
  <c r="E218" i="190"/>
  <c r="E217" i="190"/>
  <c r="E216" i="190"/>
  <c r="E215" i="190"/>
  <c r="E198" i="190"/>
  <c r="E197" i="190"/>
  <c r="E196" i="190"/>
  <c r="E195" i="190"/>
  <c r="E194" i="190"/>
  <c r="E193" i="190"/>
  <c r="E192" i="190"/>
  <c r="E191" i="190"/>
  <c r="E188" i="190"/>
  <c r="E190" i="190" s="1"/>
  <c r="E309" i="190"/>
  <c r="E312" i="190"/>
  <c r="E313" i="190"/>
  <c r="E315" i="190"/>
  <c r="E317" i="190"/>
  <c r="E319" i="190"/>
  <c r="E320" i="190"/>
  <c r="E321" i="190"/>
  <c r="E323" i="190"/>
  <c r="E324" i="190"/>
  <c r="E326" i="190"/>
  <c r="E327" i="190"/>
  <c r="E185" i="190"/>
  <c r="E184" i="190"/>
  <c r="E182" i="190"/>
  <c r="E181" i="190"/>
  <c r="E180" i="190"/>
  <c r="E179" i="190"/>
  <c r="E178" i="190"/>
  <c r="E177" i="190"/>
  <c r="E175" i="190"/>
  <c r="E174" i="190"/>
  <c r="E173" i="190"/>
  <c r="E165" i="190"/>
  <c r="E167" i="190" s="1"/>
  <c r="E162" i="190"/>
  <c r="E161" i="190"/>
  <c r="E160" i="190"/>
  <c r="E158" i="190"/>
  <c r="E157" i="190"/>
  <c r="E155" i="190"/>
  <c r="E153" i="190"/>
  <c r="E152" i="190"/>
  <c r="E151" i="190"/>
  <c r="E149" i="190"/>
  <c r="E147" i="190"/>
  <c r="E145" i="190"/>
  <c r="E143" i="190"/>
  <c r="E140" i="190"/>
  <c r="E139" i="190"/>
  <c r="E138" i="190"/>
  <c r="E137" i="190"/>
  <c r="E135" i="190"/>
  <c r="E134" i="190"/>
  <c r="E133" i="190"/>
  <c r="E132" i="190"/>
  <c r="E131" i="190"/>
  <c r="E130" i="190"/>
  <c r="E128" i="190"/>
  <c r="E127" i="190"/>
  <c r="E124" i="190"/>
  <c r="E125" i="190"/>
  <c r="E120" i="190"/>
  <c r="E119" i="190"/>
  <c r="E118" i="190"/>
  <c r="E117" i="190"/>
  <c r="E116" i="190"/>
  <c r="E115" i="190"/>
  <c r="E114" i="190"/>
  <c r="E112" i="190"/>
  <c r="E111" i="190"/>
  <c r="E107" i="190"/>
  <c r="E105" i="190"/>
  <c r="E104" i="190"/>
  <c r="E96" i="190"/>
  <c r="E95" i="190"/>
  <c r="E94" i="190"/>
  <c r="E93" i="190"/>
  <c r="E91" i="190"/>
  <c r="E90" i="190"/>
  <c r="E89" i="190"/>
  <c r="E88" i="190"/>
  <c r="E87" i="190"/>
  <c r="E85" i="190"/>
  <c r="E84" i="190"/>
  <c r="E83" i="190"/>
  <c r="E82" i="190"/>
  <c r="E80" i="190"/>
  <c r="E81" i="190" s="1"/>
  <c r="E79" i="190"/>
  <c r="E76" i="190"/>
  <c r="E75" i="190"/>
  <c r="E72" i="190"/>
  <c r="E74" i="190" s="1"/>
  <c r="E70" i="190"/>
  <c r="E64" i="190"/>
  <c r="E63" i="190"/>
  <c r="E62" i="190"/>
  <c r="E61" i="190"/>
  <c r="E58" i="190"/>
  <c r="E56" i="190"/>
  <c r="E55" i="190"/>
  <c r="E54" i="190"/>
  <c r="E53" i="190"/>
  <c r="E51" i="190"/>
  <c r="E50" i="190"/>
  <c r="E49" i="190"/>
  <c r="E48" i="190"/>
  <c r="E47" i="190"/>
  <c r="E44" i="190"/>
  <c r="E22" i="190"/>
  <c r="E189" i="190" l="1"/>
  <c r="E108" i="190"/>
  <c r="E288" i="190"/>
  <c r="E73" i="190"/>
  <c r="E123" i="190"/>
  <c r="E77" i="190"/>
  <c r="E166" i="190"/>
  <c r="E122" i="190"/>
  <c r="E78" i="190" l="1"/>
  <c r="N56" i="196" l="1"/>
  <c r="A6" i="202" l="1"/>
  <c r="L85" i="202"/>
  <c r="L87" i="202" s="1"/>
  <c r="L13" i="202"/>
  <c r="O87" i="202" l="1"/>
  <c r="M85" i="202"/>
  <c r="M87" i="202" s="1"/>
  <c r="N87" i="202" l="1"/>
  <c r="P87" i="202" l="1"/>
  <c r="O12" i="202" l="1"/>
  <c r="E335" i="190" l="1"/>
  <c r="E333" i="190"/>
  <c r="E349" i="190" l="1"/>
  <c r="E347" i="190"/>
  <c r="E344" i="190"/>
  <c r="E341" i="190"/>
  <c r="E339" i="190"/>
  <c r="E337" i="190"/>
  <c r="A6" i="196" l="1"/>
  <c r="L13" i="196"/>
  <c r="A10" i="196"/>
  <c r="L56" i="196" l="1"/>
  <c r="L58" i="196" s="1"/>
  <c r="M56" i="196"/>
  <c r="M58" i="196" s="1"/>
  <c r="O56" i="196" l="1"/>
  <c r="O58" i="196" s="1"/>
  <c r="P56" i="196"/>
  <c r="P58" i="196" l="1"/>
  <c r="N58" i="196"/>
  <c r="O12" i="196" l="1"/>
  <c r="A10" i="184"/>
  <c r="E25" i="184" l="1"/>
  <c r="L13" i="190"/>
  <c r="L13" i="184"/>
  <c r="E357" i="190" l="1"/>
  <c r="E358" i="190" s="1"/>
  <c r="E332" i="190" l="1"/>
  <c r="E342" i="190"/>
  <c r="E345" i="190"/>
  <c r="E351" i="190"/>
  <c r="E353" i="190"/>
  <c r="E355" i="190"/>
  <c r="E356" i="190"/>
  <c r="E359" i="190"/>
  <c r="A6" i="190"/>
  <c r="E32" i="184"/>
  <c r="A6" i="184"/>
  <c r="E19" i="184"/>
  <c r="E22" i="184"/>
  <c r="E28" i="184"/>
  <c r="E34" i="184"/>
  <c r="E36" i="184"/>
  <c r="E38" i="184"/>
  <c r="E40" i="184"/>
  <c r="L393" i="190" l="1"/>
  <c r="L395" i="190" s="1"/>
  <c r="O393" i="190"/>
  <c r="O395" i="190" s="1"/>
  <c r="L41" i="184"/>
  <c r="L43" i="184" s="1"/>
  <c r="O41" i="184"/>
  <c r="O43" i="184" s="1"/>
  <c r="M393" i="190"/>
  <c r="M395" i="190" s="1"/>
  <c r="E352" i="190"/>
  <c r="M41" i="184"/>
  <c r="M43" i="184" s="1"/>
  <c r="N41" i="184" l="1"/>
  <c r="N393" i="190"/>
  <c r="F26" i="182"/>
  <c r="P41" i="184"/>
  <c r="N43" i="184" l="1"/>
  <c r="P43" i="184"/>
  <c r="O12" i="184" l="1"/>
  <c r="P393" i="190" l="1"/>
  <c r="P395" i="190" l="1"/>
  <c r="N395" i="190"/>
  <c r="O12" i="190" l="1"/>
  <c r="E26" i="182"/>
  <c r="L31" i="203" l="1"/>
  <c r="L33" i="203" s="1"/>
  <c r="G26" i="182" s="1"/>
  <c r="C14" i="182" s="1"/>
  <c r="M31" i="203" l="1"/>
  <c r="M33" i="203" s="1"/>
  <c r="D26" i="182" s="1"/>
  <c r="P31" i="203" l="1"/>
  <c r="P33" i="203" s="1"/>
  <c r="C26" i="182" s="1"/>
  <c r="O12" i="203" l="1"/>
  <c r="C30" i="182" l="1"/>
  <c r="C13" i="182" s="1"/>
  <c r="D22" i="183" l="1"/>
  <c r="D23" i="183" s="1"/>
  <c r="D24" i="183" s="1"/>
</calcChain>
</file>

<file path=xl/comments1.xml><?xml version="1.0" encoding="utf-8"?>
<comments xmlns="http://schemas.openxmlformats.org/spreadsheetml/2006/main">
  <authors>
    <author>Pretpils</author>
  </authors>
  <commentList>
    <comment ref="J18" authorId="0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dziļumvibratora motors un vāle: 6.4 Ls/d</t>
        </r>
      </text>
    </comment>
    <comment ref="J21" authorId="0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dziļumvibratora motors un vāle: 6.4 Ls/d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dziļumvibratora motors un vāle: 6.4 Ls/d</t>
        </r>
      </text>
    </comment>
    <comment ref="I28" authorId="0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5 mēn</t>
        </r>
      </text>
    </comment>
    <comment ref="I32" authorId="0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5 mēn.</t>
        </r>
      </text>
    </comment>
  </commentList>
</comments>
</file>

<file path=xl/comments2.xml><?xml version="1.0" encoding="utf-8"?>
<comments xmlns="http://schemas.openxmlformats.org/spreadsheetml/2006/main">
  <authors>
    <author>Computer</author>
    <author>Pretpils</author>
    <author>test</author>
  </authors>
  <commentList>
    <comment ref="I44" authorId="0">
      <text>
        <r>
          <rPr>
            <b/>
            <sz val="8"/>
            <color indexed="81"/>
            <rFont val="Tahoma"/>
            <family val="2"/>
            <charset val="186"/>
          </rPr>
          <t>Computer:</t>
        </r>
        <r>
          <rPr>
            <sz val="8"/>
            <color indexed="81"/>
            <rFont val="Tahoma"/>
            <family val="2"/>
            <charset val="186"/>
          </rPr>
          <t xml:space="preserve">
25 t</t>
        </r>
      </text>
    </comment>
    <comment ref="I47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48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49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50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polimpeks</t>
        </r>
      </text>
    </comment>
    <comment ref="I53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54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55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56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68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79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polimpeks</t>
        </r>
      </text>
    </comment>
    <comment ref="I80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81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polimpeks</t>
        </r>
      </text>
    </comment>
    <comment ref="I82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83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polimpeks</t>
        </r>
      </text>
    </comment>
    <comment ref="I84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polimpeks</t>
        </r>
      </text>
    </comment>
    <comment ref="I85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87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88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89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90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polimpeks</t>
        </r>
      </text>
    </comment>
    <comment ref="I93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94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95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96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01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105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111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123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30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131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32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33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34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polimpeks</t>
        </r>
      </text>
    </comment>
    <comment ref="I137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38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39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40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43" authorId="0">
      <text>
        <r>
          <rPr>
            <b/>
            <sz val="8"/>
            <color indexed="81"/>
            <rFont val="Tahoma"/>
            <family val="2"/>
            <charset val="186"/>
          </rPr>
          <t>Computer:</t>
        </r>
        <r>
          <rPr>
            <sz val="8"/>
            <color indexed="81"/>
            <rFont val="Tahoma"/>
            <family val="2"/>
            <charset val="186"/>
          </rPr>
          <t xml:space="preserve">
25 t</t>
        </r>
      </text>
    </comment>
    <comment ref="I151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153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F169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0.10 h gruntēšana
0.30 h līdzināšana
0.10 h slīpēšana</t>
        </r>
      </text>
    </comment>
    <comment ref="I170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171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179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181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182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F187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1.5 starpsienas+0.4 šuvju špaktelēšana</t>
        </r>
      </text>
    </comment>
    <comment ref="E194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mainīta formula</t>
        </r>
      </text>
    </comment>
    <comment ref="I215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16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17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18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polimpeks</t>
        </r>
      </text>
    </comment>
    <comment ref="I221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22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23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24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39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258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59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60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61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polimpeks</t>
        </r>
      </text>
    </comment>
    <comment ref="I264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65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66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I267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RK</t>
        </r>
      </text>
    </comment>
    <comment ref="F290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0.10 h gruntēšana
0.30 h līdzināšana
0.10 h slīpēšana</t>
        </r>
      </text>
    </comment>
    <comment ref="I291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292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00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02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03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09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1.1 Ls/m/mēnx 4 mēn.</t>
        </r>
      </text>
    </comment>
    <comment ref="I317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polimpeks</t>
        </r>
      </text>
    </comment>
    <comment ref="I323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24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26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28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29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30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32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33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35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37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39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41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42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44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45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F354" authorId="1">
      <text>
        <r>
          <rPr>
            <b/>
            <sz val="8"/>
            <color indexed="81"/>
            <rFont val="Tahoma"/>
            <family val="2"/>
            <charset val="186"/>
          </rPr>
          <t>Pretpils:</t>
        </r>
        <r>
          <rPr>
            <sz val="8"/>
            <color indexed="81"/>
            <rFont val="Tahoma"/>
            <family val="2"/>
            <charset val="186"/>
          </rPr>
          <t xml:space="preserve">
samazināta norma pr 30%</t>
        </r>
      </text>
    </comment>
    <comment ref="I363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  <comment ref="I366" authorId="2">
      <text>
        <r>
          <rPr>
            <b/>
            <sz val="9"/>
            <color indexed="81"/>
            <rFont val="Tahoma"/>
            <family val="2"/>
            <charset val="186"/>
          </rPr>
          <t>test:</t>
        </r>
        <r>
          <rPr>
            <sz val="9"/>
            <color indexed="81"/>
            <rFont val="Tahoma"/>
            <family val="2"/>
            <charset val="186"/>
          </rPr>
          <t xml:space="preserve">
RK</t>
        </r>
      </text>
    </comment>
  </commentList>
</comments>
</file>

<file path=xl/sharedStrings.xml><?xml version="1.0" encoding="utf-8"?>
<sst xmlns="http://schemas.openxmlformats.org/spreadsheetml/2006/main" count="1391" uniqueCount="494">
  <si>
    <t>kompl.</t>
  </si>
  <si>
    <t>gb.</t>
  </si>
  <si>
    <t>t.m.</t>
  </si>
  <si>
    <t>Mērvienība</t>
  </si>
  <si>
    <t>Daudzums</t>
  </si>
  <si>
    <t>KOPĀ:</t>
  </si>
  <si>
    <t>1</t>
  </si>
  <si>
    <t>2</t>
  </si>
  <si>
    <t>3</t>
  </si>
  <si>
    <t>4</t>
  </si>
  <si>
    <t>5</t>
  </si>
  <si>
    <t>6</t>
  </si>
  <si>
    <t xml:space="preserve">Pasūtījuma Nr: </t>
  </si>
  <si>
    <t>Tāmes izmaksas (Ls):</t>
  </si>
  <si>
    <t>Nr. p. k.</t>
  </si>
  <si>
    <t>Kods</t>
  </si>
  <si>
    <t>Darba nosaukums (apraksts)</t>
  </si>
  <si>
    <t>Vienības izmaksas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</si>
  <si>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</si>
  <si>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</si>
  <si>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</si>
  <si>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</si>
  <si>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</si>
  <si>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</si>
  <si>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</si>
  <si>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</si>
  <si>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</si>
  <si>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Kalk.</t>
  </si>
  <si>
    <t>7</t>
  </si>
  <si>
    <t>8</t>
  </si>
  <si>
    <t>Kopā (Ls):</t>
  </si>
  <si>
    <t>Darba devēja sociālais nodoklis 24.09 % (Ls):</t>
  </si>
  <si>
    <t>Kopā</t>
  </si>
  <si>
    <t>9</t>
  </si>
  <si>
    <t>BŪVNIECĪBAS KOPTĀME</t>
  </si>
  <si>
    <t>%</t>
  </si>
  <si>
    <t xml:space="preserve"> -</t>
  </si>
  <si>
    <t>Vērtējamā summa bez PVN (LVL)</t>
  </si>
  <si>
    <t>PVN, % (LVL)</t>
  </si>
  <si>
    <t>Pavisam būvizmaksas (LVL)</t>
  </si>
  <si>
    <t>WC noma</t>
  </si>
  <si>
    <t>Vagoniņa noma</t>
  </si>
  <si>
    <t>Vagoniņa transports</t>
  </si>
  <si>
    <t>km</t>
  </si>
  <si>
    <t>Lokālās tāmes Nr.</t>
  </si>
  <si>
    <t>Lokālās tāmes nosaukums</t>
  </si>
  <si>
    <t>Lokālās tāmes izmaksas, Ls</t>
  </si>
  <si>
    <t>Par kopējo summu (Ls):</t>
  </si>
  <si>
    <t>Kopējā darbietilpība (c/h):</t>
  </si>
  <si>
    <t>Lokālās tāmes izmaksas (Ls)</t>
  </si>
  <si>
    <t>Būvlaukuma sagatavošanas darbi</t>
  </si>
  <si>
    <t>Objekta tāmes Nr.</t>
  </si>
  <si>
    <t>Objekta tāmes nosaukums</t>
  </si>
  <si>
    <t>Kopā būvniecības izmaksas</t>
  </si>
  <si>
    <t>Ar būvniecību saistītās izmaksas</t>
  </si>
  <si>
    <t>-</t>
  </si>
  <si>
    <t>Energoauditora ēku energoefektivitātes rādītāju novērtēšana</t>
  </si>
  <si>
    <t>Izmaksas, saitītas ar objekta nodošanu ekspluatācijā</t>
  </si>
  <si>
    <t>Ar būvniecību saistītās izmaksas kopā</t>
  </si>
  <si>
    <t>Dzīvojamās ēkas siltināšana</t>
  </si>
  <si>
    <t>Lokālā tāme Nr. 1</t>
  </si>
  <si>
    <t>mēn</t>
  </si>
  <si>
    <t>mēn.</t>
  </si>
  <si>
    <t>Objekta logo izgatavošana un uzstādīšana</t>
  </si>
  <si>
    <t>Būvtāfele</t>
  </si>
  <si>
    <t>Pagaidu elektrību un laukuma apgaismojuma ierīkošana būvniecības vajadzībām</t>
  </si>
  <si>
    <t>Materiālu komplekts</t>
  </si>
  <si>
    <t>Ikmēneša maksa par elektrības izmantošanu būvniecības periodam</t>
  </si>
  <si>
    <t>Komplekts</t>
  </si>
  <si>
    <t>Pagaidu ūdensvada tīklu ierīkošana būvniecības vajadzībām</t>
  </si>
  <si>
    <t>Ikmēneša maksa par ūdens izmantošanu būvniecības periodam</t>
  </si>
  <si>
    <t>Dzīvojamā vagonoņa montāža, demontāža, noma</t>
  </si>
  <si>
    <t>Darbu vadītāja vagoniņa montāža, demontāža, noma</t>
  </si>
  <si>
    <t>Pārvietojamās tualetes montāža, demontāža, noma</t>
  </si>
  <si>
    <t>m</t>
  </si>
  <si>
    <t>m2</t>
  </si>
  <si>
    <t>gb</t>
  </si>
  <si>
    <t>m²</t>
  </si>
  <si>
    <t>kg</t>
  </si>
  <si>
    <t>Skrūves</t>
  </si>
  <si>
    <t>m³</t>
  </si>
  <si>
    <t>Izgāztuves izmaksa</t>
  </si>
  <si>
    <t>Montāžas skava</t>
  </si>
  <si>
    <t>Putas Remontix Pro (114)</t>
  </si>
  <si>
    <t>5-97 b</t>
  </si>
  <si>
    <t>8-41</t>
  </si>
  <si>
    <t>PVC stūra profils ar sietu 10x10, 2.5m</t>
  </si>
  <si>
    <t>Līmjava SAKRET BAK 25 kg</t>
  </si>
  <si>
    <t>Apmetums Rotband 30kg. Knauf</t>
  </si>
  <si>
    <t>Špaktele nobeiguma VET.LR 25kg</t>
  </si>
  <si>
    <t>Špaktele gat. univers. SHEETROCK(zaļa) 28kg</t>
  </si>
  <si>
    <t>Grunts KN Tiefengruntd 15 l</t>
  </si>
  <si>
    <t>Stūra šina 25x25 GKB L=3m Fasten</t>
  </si>
  <si>
    <t>Smilšpapīrs</t>
  </si>
  <si>
    <t>Līmlenta krāsotājam, Kreps263 25mmx50m</t>
  </si>
  <si>
    <t>gab.</t>
  </si>
  <si>
    <t>Hermētiķis NEO ACRYL BALTS 310ml</t>
  </si>
  <si>
    <t>Krāsa VIVAPLAST-12 9L (tonēta)</t>
  </si>
  <si>
    <t>8-38 a</t>
  </si>
  <si>
    <t>Līmjava SAKRET BK 25 kg</t>
  </si>
  <si>
    <t>m3</t>
  </si>
  <si>
    <t>5-111</t>
  </si>
  <si>
    <t xml:space="preserve">Inventārās sastatnes, tīklu montāža un demontāža fasādes apdares darbu veikšanai </t>
  </si>
  <si>
    <t>Sastatņu noma</t>
  </si>
  <si>
    <t>Plēve celtn.UV stab. 100mk 3m/50m (150m2)(Tvaika barjera) Salta</t>
  </si>
  <si>
    <t>Skavas</t>
  </si>
  <si>
    <t>6-1</t>
  </si>
  <si>
    <t>Šķembas 18-22mm</t>
  </si>
  <si>
    <t>t</t>
  </si>
  <si>
    <t>Smilts 0-15mm</t>
  </si>
  <si>
    <t>Bruģis T-6 pelēks 60 mm</t>
  </si>
  <si>
    <t>10</t>
  </si>
  <si>
    <t>21-00082, 21-00211</t>
  </si>
  <si>
    <t>Stiklašķiedras siets SSB145</t>
  </si>
  <si>
    <t>11</t>
  </si>
  <si>
    <t>12</t>
  </si>
  <si>
    <t>13</t>
  </si>
  <si>
    <t>14</t>
  </si>
  <si>
    <t>Dekoratīva apmetuma grunts SAKRET PG 25 kg</t>
  </si>
  <si>
    <t>Fasādes armējošā slāņa gruntēšana- fasāde</t>
  </si>
  <si>
    <t>Fasādes armējošā slāņa gruntēšana - ailes</t>
  </si>
  <si>
    <t>21-00131</t>
  </si>
  <si>
    <t>Dekoratīvā apmetuma uzklāšana -fasādei</t>
  </si>
  <si>
    <t>Dekoratīvais apmetums SAKRET MRP-E 2 mm, 25 kg</t>
  </si>
  <si>
    <t>Dekoratīvā apmetuma uzklāšana - ailes</t>
  </si>
  <si>
    <t>21-00221</t>
  </si>
  <si>
    <t>Fasādes krāsošana - fasāde</t>
  </si>
  <si>
    <t>Krāsa HANSA SILICAT SB 9L silikātkrāsa minerālām fasādēm (tonēta)</t>
  </si>
  <si>
    <t>Fasādes krāsošana - ailes</t>
  </si>
  <si>
    <t>Logu nosegšana ar plēvi</t>
  </si>
  <si>
    <t>Armējošā slāņa (sieta un līmjavas) iestrāde fasādei</t>
  </si>
  <si>
    <t>Armējošā slāņa (sieta un līmjavas) iestrāde logu ailēm</t>
  </si>
  <si>
    <t>Stūru papildus stiprināšana ar stiegrojuma sietu iestrādājot līmjavā</t>
  </si>
  <si>
    <t>Ārējo palodžu montāža stiprinot ar skrūvēm, noblīvējot ar silikonu</t>
  </si>
  <si>
    <t>Ārējā palodze 300 mm</t>
  </si>
  <si>
    <t>Silikons 310 ml</t>
  </si>
  <si>
    <t>KOPSAVILKUMU APRĒĶINS PAR DARBU VAI KONSTRUKTĪVO ELEMENTU VEIDIEM Nr.1</t>
  </si>
  <si>
    <t>Dziļā grunts SAKRET TGW 20 L</t>
  </si>
  <si>
    <t>Fasādes virsmu gruntēšana</t>
  </si>
  <si>
    <t>15</t>
  </si>
  <si>
    <t>16</t>
  </si>
  <si>
    <t>17</t>
  </si>
  <si>
    <t>Objekta nosaukums: Daudzdzīvokļu mājas renovācija</t>
  </si>
  <si>
    <t>Būves nosaukums: Daudzdzīvokļu mājas renovācija</t>
  </si>
  <si>
    <t>Transportbetons B15</t>
  </si>
  <si>
    <t>Cokola profila montāža</t>
  </si>
  <si>
    <t>Palīgmateriāli</t>
  </si>
  <si>
    <t>Silikāta krāsa Sakret KS 9L (tonēta)</t>
  </si>
  <si>
    <t>Siltinājuma mezglu detalizāciju izstrādāšana</t>
  </si>
  <si>
    <t>Materiālu novietnes-vagona montāža, demontāža, noma</t>
  </si>
  <si>
    <t>Transporta izmaksas 7 % no materiālu izmaksām:</t>
  </si>
  <si>
    <t>Hermētiķis REMONTIX Silikons sanit.caursp. 280ml</t>
  </si>
  <si>
    <t>Normat.</t>
  </si>
  <si>
    <t>Būvlaukuma norobežošana ar inventāro žogu posmiem, žoga nojaukšana, noma 6 mēn</t>
  </si>
  <si>
    <t>Žoga noma 6 mēn.</t>
  </si>
  <si>
    <t>l</t>
  </si>
  <si>
    <t>Zemapmetuma profilu montāža ar stiegrojuma sietu iestrādājot līmjavā</t>
  </si>
  <si>
    <t xml:space="preserve">Stūris profils SAKRET MAT D/03.2  </t>
  </si>
  <si>
    <t>Palodzes profils SAKRET MAT D/08</t>
  </si>
  <si>
    <t>Loga pielaiduma profils SAKRET MAT A/10.5</t>
  </si>
  <si>
    <t>Stūra profils ar lāsenīti SAKRET MAT D/29.2</t>
  </si>
  <si>
    <t>Cokola profils SAKRET MAT D/33+D/06</t>
  </si>
  <si>
    <t>Stūru papildus stiprināšana ar stiegrojuma sietu iestrādājot līmjavā (logu ailēm)</t>
  </si>
  <si>
    <t>t.m</t>
  </si>
  <si>
    <t>skrūves</t>
  </si>
  <si>
    <t>Atloka montāža skursteņiem</t>
  </si>
  <si>
    <t>Atloks, Pe</t>
  </si>
  <si>
    <t>Apmale 1000x200x80</t>
  </si>
  <si>
    <t>Tāme sastādīta 2013. gada tirgus cenās, pamatojoties uz darba uzdevumu</t>
  </si>
  <si>
    <t>13-00103</t>
  </si>
  <si>
    <t>Tvaika izolācijas ierīkošana</t>
  </si>
  <si>
    <t>Plēve celtn.UV stab. 200mk 3m/50m (150m2)(Tvaika barjera)</t>
  </si>
  <si>
    <t>Piezīmes:</t>
  </si>
  <si>
    <t>Visi materiāli aizstājami ar ekvivalentiem materiāliem</t>
  </si>
  <si>
    <t>18</t>
  </si>
  <si>
    <t>100 gb</t>
  </si>
  <si>
    <t>Koka karkasa elementu apstrāde ar antiseptiķiem un antipirēniem</t>
  </si>
  <si>
    <t>Ugunsdrošs antiseptiķis Bochemit Basic</t>
  </si>
  <si>
    <t>Naglas 100 mm</t>
  </si>
  <si>
    <t>Latas 32x100mm</t>
  </si>
  <si>
    <t>2-52 b</t>
  </si>
  <si>
    <t>Cementa java</t>
  </si>
  <si>
    <t>Silikons Makrosil SA</t>
  </si>
  <si>
    <t>SKRŪVES PAŠZENĶĒJOŠĀS 4,2x51 FINIERA</t>
  </si>
  <si>
    <t>09-15005</t>
  </si>
  <si>
    <t>Lietus ūdeņu tekņu ar āķiem montāža (apaļā noteksistēma)</t>
  </si>
  <si>
    <t>Tekne 120 mm Pe</t>
  </si>
  <si>
    <t>Teknes gals</t>
  </si>
  <si>
    <t>Teknes āķis 120 mm</t>
  </si>
  <si>
    <t>09-15302</t>
  </si>
  <si>
    <t>Lietus notekcauruļu ar stiprinājumiem, piltuves montāža (apaļā noteksistēma)</t>
  </si>
  <si>
    <t>Noteka</t>
  </si>
  <si>
    <t>Piltuve</t>
  </si>
  <si>
    <t>Augšējais līkumu komplekts</t>
  </si>
  <si>
    <t>Apakšējais līkums</t>
  </si>
  <si>
    <t>Notekas stiprinājums</t>
  </si>
  <si>
    <t>Dībeļi ārsienu silt.220mm</t>
  </si>
  <si>
    <t>Esošo palodžu izmūrējumu demontāža</t>
  </si>
  <si>
    <t>Materiāli</t>
  </si>
  <si>
    <t>Ārējie apdares darbi</t>
  </si>
  <si>
    <t>Logi, durvis</t>
  </si>
  <si>
    <t>Siltumizolācijas slāņa montāža fasādei ar puscietām akmens plātnēm (FAS3)100 mm biezumā</t>
  </si>
  <si>
    <t>PAROC FAS 3 100x600x1200</t>
  </si>
  <si>
    <t>Bruģa uzstādīšana 60cm platumā</t>
  </si>
  <si>
    <t>Demontāžas darbi</t>
  </si>
  <si>
    <t>Logu un durvju bloku demontāža</t>
  </si>
  <si>
    <t>Dažādi demontāžas darbi</t>
  </si>
  <si>
    <t>h</t>
  </si>
  <si>
    <t>Būvgružu aizvešana un nodošana izgāztuvē</t>
  </si>
  <si>
    <t>5-34 b, 9-40</t>
  </si>
  <si>
    <t>Met.prof.hor.UW 100/30 l=3000</t>
  </si>
  <si>
    <t xml:space="preserve">Amort.lenta 95 mm 30m </t>
  </si>
  <si>
    <t>Naglu dībelis 6X50</t>
  </si>
  <si>
    <t>100gb.</t>
  </si>
  <si>
    <t>Met.prof.vert.CW 100/50 l=3000</t>
  </si>
  <si>
    <t>Vate ISOVER 610-KL 37 100mm 7.14m2/0,714m3</t>
  </si>
  <si>
    <t>paka</t>
  </si>
  <si>
    <t>Skrūves konstrukcijas LN 3,9*9</t>
  </si>
  <si>
    <t>Reģipsis standarta1.2 x 3.0 F13 NORG GKB</t>
  </si>
  <si>
    <t>loksne</t>
  </si>
  <si>
    <t>Reģipša skrūves ar smalko vītni (FSK) 3,5*25</t>
  </si>
  <si>
    <t>Sietlente reģipša šuvēm 48mmx45m</t>
  </si>
  <si>
    <t>Špaktele šuvēm Fugenfuller 25 kg</t>
  </si>
  <si>
    <t>10-00055</t>
  </si>
  <si>
    <t>Iekšsienu virsmas apmest ar gatavu apmetuma sastāvu</t>
  </si>
  <si>
    <t>Grunts BETONKONTAKT 20kg KNAUF</t>
  </si>
  <si>
    <t>Ģipša mašīnapmetums MP-75 40kg KNAUF</t>
  </si>
  <si>
    <t>Sienu gruntēšana un pilna špaktelēšana</t>
  </si>
  <si>
    <t>Sienu krāsojums 2x</t>
  </si>
  <si>
    <t>Gruntskrāsa VIVAPLAST PRIMER 9L</t>
  </si>
  <si>
    <t>6-17</t>
  </si>
  <si>
    <t>Sienu hidroizolācija</t>
  </si>
  <si>
    <t>Hidroizolācija Mapegum WMS 5 kg</t>
  </si>
  <si>
    <t>Šķiedras lenta 25m x 10 cm</t>
  </si>
  <si>
    <t>8-47 b</t>
  </si>
  <si>
    <t>Sienu flīzēšana</t>
  </si>
  <si>
    <t>Sienas flīzes</t>
  </si>
  <si>
    <t>Flīžu līme SAKRET FK 25 kg</t>
  </si>
  <si>
    <t>Šuvju masa KN 2 kg. tonī</t>
  </si>
  <si>
    <t>Flīžu līstes 2.5 m</t>
  </si>
  <si>
    <t>5-21 b</t>
  </si>
  <si>
    <t>Vate Paroc UNS 37z 565 100mm</t>
  </si>
  <si>
    <t>rullis</t>
  </si>
  <si>
    <t>5-35 a, 9-40</t>
  </si>
  <si>
    <t>Met.prof.UD 28 l=3000</t>
  </si>
  <si>
    <t>Naglu dībelis 6X40 100gab./kaste</t>
  </si>
  <si>
    <t xml:space="preserve">Amort.lenta 30mm 30m </t>
  </si>
  <si>
    <t>Met.prof.CD 60/27 l=3000</t>
  </si>
  <si>
    <t>Metāla ripa</t>
  </si>
  <si>
    <t>U-veida skava</t>
  </si>
  <si>
    <t>Skruve metāla profiliem (WSK) 3.5x9.5 ar priekšurbi</t>
  </si>
  <si>
    <t>Krustveida savienot. CD 60/27 NĀKOTNE</t>
  </si>
  <si>
    <t>Reģipsis standarta 1.2 x 3.0 F13 NORG GKB</t>
  </si>
  <si>
    <t>Reģipša skrūves ar smalko vītni (FSK) 3,5x25</t>
  </si>
  <si>
    <t>100gab</t>
  </si>
  <si>
    <t>Sietlente reģipša šuvēm 48mmx90m</t>
  </si>
  <si>
    <t>Griestu gruntēšana un pilna špaktelēšana</t>
  </si>
  <si>
    <t>Griestu krāsojums 2x</t>
  </si>
  <si>
    <t>PVC loga bloks L-1 1100x1300 (h) mm, verams, balts/balts</t>
  </si>
  <si>
    <t>Iekšējo loga palodžu montāža</t>
  </si>
  <si>
    <t>PVC palodze 300mm (balta)</t>
  </si>
  <si>
    <t>Ārējo skārda palodžu uzstādīšana</t>
  </si>
  <si>
    <t>Ārējā palodze (Zn) 250 mm</t>
  </si>
  <si>
    <t>Iekšdurvju bloku montāža</t>
  </si>
  <si>
    <t>Koka iekšdurvju bloks D-1 900x2100mm</t>
  </si>
  <si>
    <t>Kleidu montāža</t>
  </si>
  <si>
    <t>Kleidu komplekts</t>
  </si>
  <si>
    <t>Skrūves ar dībeļiem</t>
  </si>
  <si>
    <t>SNICKERI 2.5l špaktele kokam</t>
  </si>
  <si>
    <t>Gruntskrāsa 2.5 L</t>
  </si>
  <si>
    <t>Krāsa (tonēta) 1 L</t>
  </si>
  <si>
    <t>8-42 b</t>
  </si>
  <si>
    <t>Durvju un logu aiļu sānmalu apšūšana ar ģipškartona loksnēm tās piestiprinot ar mastiku b=20 cm</t>
  </si>
  <si>
    <t>Līme reģipša Perflix 30kg KNAUF</t>
  </si>
  <si>
    <t>Nobeiguma līste ģipškartonam (PVC) 3.0 m</t>
  </si>
  <si>
    <t>Naglu dībelis 8X80 100gab./kaste</t>
  </si>
  <si>
    <t>Durvju un logu aiļu stūru papildus stiprināšana ar stiegrojuma sietu iestrādājot līmjavā</t>
  </si>
  <si>
    <t>Ailu gruntēšana un pilna špaktelēšana</t>
  </si>
  <si>
    <t>Ailu krāsojums 2x</t>
  </si>
  <si>
    <t>6-3</t>
  </si>
  <si>
    <t>Oļu vai šķembu pamatojums 10 cm</t>
  </si>
  <si>
    <t>Šķembas 22-40</t>
  </si>
  <si>
    <t>Hidroizolācijas ierīkošana no PE plēves</t>
  </si>
  <si>
    <t>6-9a</t>
  </si>
  <si>
    <t>Polistirola ieklāšana 5 cm</t>
  </si>
  <si>
    <t>DOW STYROFOAM 250 A-N 50mm</t>
  </si>
  <si>
    <t>Malu izolācija</t>
  </si>
  <si>
    <t>DOW STYROFOAM 250 A-N 20mm</t>
  </si>
  <si>
    <t>6-10</t>
  </si>
  <si>
    <t>Stiegrojuma sietu uzstādīšana uz siltumizolācijas pamatnes</t>
  </si>
  <si>
    <t>SIETS ARMATŪRAS 4Bpl/200/200 1x3m (3 M2)</t>
  </si>
  <si>
    <t>Distancers armaturas Styrofix Extra 25/30</t>
  </si>
  <si>
    <t>Distancers stieple 1.4mm 20kg/spainis</t>
  </si>
  <si>
    <t>6-11</t>
  </si>
  <si>
    <t>Betona B-15 iestrādāšana grīdā,novibrējot, b=70mm</t>
  </si>
  <si>
    <t>Betons B15</t>
  </si>
  <si>
    <t>Grīdas hidroizolācija</t>
  </si>
  <si>
    <t>6-53 c</t>
  </si>
  <si>
    <t>Flīžu segums grīdai</t>
  </si>
  <si>
    <t>Keramikas flīzes</t>
  </si>
  <si>
    <t>6-55</t>
  </si>
  <si>
    <t>Grīdlīstes izveidošana no flīzēm</t>
  </si>
  <si>
    <t>6-56 c</t>
  </si>
  <si>
    <t>Linoleja ieklāšana</t>
  </si>
  <si>
    <t>Linolejs Polyfloor 2.0 mm</t>
  </si>
  <si>
    <t>Līme 12 kg</t>
  </si>
  <si>
    <t>Metināšanas diegs</t>
  </si>
  <si>
    <t>6-33 b</t>
  </si>
  <si>
    <t>Koka grīdlīstu pielikšana</t>
  </si>
  <si>
    <t>Koka grīdlīstes 20x60 mm</t>
  </si>
  <si>
    <t>Laka RLKR Duokron, matēta, 2.7 l</t>
  </si>
  <si>
    <t>Metāla sliekšņu montāža</t>
  </si>
  <si>
    <t>Metāla slieksnis</t>
  </si>
  <si>
    <t>PVC loga bloks L-2 1000x1000 (h) mm, verams, balts/balts</t>
  </si>
  <si>
    <t>5-72 a</t>
  </si>
  <si>
    <t>6-31 b</t>
  </si>
  <si>
    <t>Grīdas klāja ierīkošana ar OSB loksnēm</t>
  </si>
  <si>
    <t>Objekta nosaukums: Daudzdzīvokļu dzīvojamās mājas rekonstrukcija</t>
  </si>
  <si>
    <t>Objekta adrese: Liepājas iela 58a, Kuldīga, Kuldīgas novads</t>
  </si>
  <si>
    <t>Objekta nosaukums:  Daudzdzīvokļu dzīvojamās mājas rekonstrukcija</t>
  </si>
  <si>
    <t>Starpsienu izbūve uz met.karkasa, b=100mm, s=600mm, ar minerālvates pildījumu b=100mm, apdare ar reģipsi no abām pusēm,  2. stāvā</t>
  </si>
  <si>
    <t>Jumts</t>
  </si>
  <si>
    <t>1. Stāva sienas</t>
  </si>
  <si>
    <t>1. Stāva griesti</t>
  </si>
  <si>
    <t>Akmens vates siltumizolācija b=150 mm</t>
  </si>
  <si>
    <t>Vate Paroc UNS 37z 565 150mm</t>
  </si>
  <si>
    <t>Ģipša kartona plātņu apšuvuma izveidošana uz metāla karkasa griestu plaknēm</t>
  </si>
  <si>
    <t>PVC logu bloku montāža U=1.2 W/m2K</t>
  </si>
  <si>
    <t>Gulšņu ierīkošana no latām 32x100 mm</t>
  </si>
  <si>
    <t>OSB 21 mm 2500x1250 mm</t>
  </si>
  <si>
    <t>2. Stāva grīdas</t>
  </si>
  <si>
    <t>2. Stāva griesti</t>
  </si>
  <si>
    <t>2. Stāva sienas</t>
  </si>
  <si>
    <t>1. Stāva grīdas</t>
  </si>
  <si>
    <t>6-17, 6-16 c</t>
  </si>
  <si>
    <t>Grīdu virsmu gruntēšana un špaktelēšana</t>
  </si>
  <si>
    <t>Bostik Primer 6000 15 l</t>
  </si>
  <si>
    <t>Bostik COMBI 25 kg</t>
  </si>
  <si>
    <t>Karnīzes montāža</t>
  </si>
  <si>
    <t>Karnīze b=500 mm, Pe</t>
  </si>
  <si>
    <t>4-59</t>
  </si>
  <si>
    <t>Sniega aiztures barjeras montāža</t>
  </si>
  <si>
    <t>Sniega barjera, VLEN, ar stiprinājumiem</t>
  </si>
  <si>
    <t>Sienu apšūšana ar ģipškartona loknsnēm, ierīkojot metāla karkasu</t>
  </si>
  <si>
    <t>Fibo armatūra l=4 m</t>
  </si>
  <si>
    <t>Jumta plaknes apšūšana ar ģipškartona loknsnēm, ierīkojot metāla karkasu</t>
  </si>
  <si>
    <t>Būvdarbi</t>
  </si>
  <si>
    <t>Elektroapgāde</t>
  </si>
  <si>
    <t>Santehniskie darbi</t>
  </si>
  <si>
    <t>Kāpnes</t>
  </si>
  <si>
    <t>pak.</t>
  </si>
  <si>
    <t>5-4</t>
  </si>
  <si>
    <t>Sienu mūrēšana ar keramzītbetona blokiem b=150 mm</t>
  </si>
  <si>
    <t>Fibo bloki 150 mm, 3 Mpa</t>
  </si>
  <si>
    <t>Gala sienu apšūšana ar ģipškartona loknsnēm, ierīkojot metāla karkasu</t>
  </si>
  <si>
    <t>5-11 b</t>
  </si>
  <si>
    <t>Pretvēja barjeras PAROC WAS 25t ierīkošana</t>
  </si>
  <si>
    <t>Vate vēja Paroc WAS25t 25mm</t>
  </si>
  <si>
    <t>Dībeļi ar skrūvēm</t>
  </si>
  <si>
    <t>Akmens vates siltumizolācija b=100+100 mm</t>
  </si>
  <si>
    <t>Flīžu līme SAKRET FKE 25 kg</t>
  </si>
  <si>
    <t>Krāsnis</t>
  </si>
  <si>
    <t>Tranšejas rakšana, aizbēršana. Ārējai kan.</t>
  </si>
  <si>
    <t>Ārējās kanalizācijas caurules montāža Ø110</t>
  </si>
  <si>
    <t>Pieslēgums kanalizācijas akai</t>
  </si>
  <si>
    <t>Palīgmateriāli un veidgabali ārēj.kan., caurumu urbšana</t>
  </si>
  <si>
    <t>Iekšējās kanalizācijas cauruļu montāža Ø110</t>
  </si>
  <si>
    <t>Iekšējās kanalizācijas cauruļu montāža Ø50</t>
  </si>
  <si>
    <t>Cauruļu veidgabali</t>
  </si>
  <si>
    <t xml:space="preserve">Palīgmateriāli  </t>
  </si>
  <si>
    <t>kpl</t>
  </si>
  <si>
    <t>Kanalizācija</t>
  </si>
  <si>
    <t>Daudzslāņu cauruļu montāža Ø25</t>
  </si>
  <si>
    <t>Daudzslāņu cauruļu montāža Ø20</t>
  </si>
  <si>
    <t>Daudzslāņu cauruļu montāža Ø16</t>
  </si>
  <si>
    <t>Daudzslāņu cauruļu veidgabali</t>
  </si>
  <si>
    <t>Cauruļu izolācija Ø25</t>
  </si>
  <si>
    <t>Cauruļu izolācija Ø20</t>
  </si>
  <si>
    <t>Cauruļu izolācija Ø16</t>
  </si>
  <si>
    <t>Cauruļu hidrauliskā pārbaude</t>
  </si>
  <si>
    <t>Aukstais, karstais ūdens</t>
  </si>
  <si>
    <t>Sadzīves ventilātoru montāža sanmezglos</t>
  </si>
  <si>
    <t>Tvaiku nosūcēju montāža virtuvēs</t>
  </si>
  <si>
    <t>Montāžas palīgmateriāli, elektromateriāli</t>
  </si>
  <si>
    <t>Caurumu urbšana, kalšana</t>
  </si>
  <si>
    <t>Ventilācija</t>
  </si>
  <si>
    <t xml:space="preserve">Keramisko izlietņu montāža </t>
  </si>
  <si>
    <t>Maisītājs keramiskai izlietnei, montāža</t>
  </si>
  <si>
    <t>Dušas kab.montāža</t>
  </si>
  <si>
    <t>Dušas maisītāju montāža</t>
  </si>
  <si>
    <t>Virtuves izlietņu montāža, tērauda</t>
  </si>
  <si>
    <t>Virtuves izlietņu maisītāju montāža</t>
  </si>
  <si>
    <t>WC podu montāža</t>
  </si>
  <si>
    <t>Pieslēgumi santehniskām iekārtām, palīgmateriāli</t>
  </si>
  <si>
    <t>Veļas mašīnu pieslēgums</t>
  </si>
  <si>
    <t>Montāžas palīgmateriāli</t>
  </si>
  <si>
    <t>Santehniskās iekārtas</t>
  </si>
  <si>
    <t>Lokālā tāme Nr. 3</t>
  </si>
  <si>
    <t>Lokālā tāme Nr. 4</t>
  </si>
  <si>
    <t>Lokālā tāme Nr. 2</t>
  </si>
  <si>
    <t>Tāme sastādīta: 2013. gada 18. martā</t>
  </si>
  <si>
    <t>Ūdens skaitītāju montāža</t>
  </si>
  <si>
    <t>Ūdens boilera montāža ER100 flancis. 1,5kW Thermex</t>
  </si>
  <si>
    <t>Koka kāpņu (ar margām) izgatavošana un uzstādīšana, B=900mm, h=2970mm, egle</t>
  </si>
  <si>
    <t>Krāsns ar sildmūri 2,5m3 mūrēšana 2. stāvā. Apdare ar neglazētiem podiņiem.</t>
  </si>
  <si>
    <t>Materiāli(šamota ķieģeļi, pilnie māla ķieģeļi, smilts, māli, stieple, neglazēti podiņi, čuguna pelnu reste, čuguna krāsns durvis, pelnu durvis, aizbīdnis, izolēta nerūsējošā tērauda dūmeja</t>
  </si>
  <si>
    <t>Lokālā tāme Nr. 5</t>
  </si>
  <si>
    <t>Drenāžas tīkli</t>
  </si>
  <si>
    <t>Drenāža</t>
  </si>
  <si>
    <t>Pludiņsūknis, kabelis</t>
  </si>
  <si>
    <t xml:space="preserve">Kabeļu tranšejas rakšana, aizbēršana pa slāņiem vibrējot </t>
  </si>
  <si>
    <t>Ārējās drenāžas caurules ar kokosa filtru montāža Ø113</t>
  </si>
  <si>
    <t>Ārējās drenāžas caurules ar kokosa filtru montāža Ø145</t>
  </si>
  <si>
    <t>Uponor lietusūdeņu un drenāžas aka Veto 315 ar vāku</t>
  </si>
  <si>
    <t xml:space="preserve">Drenāžas tranšejas rakšana, aizbēršana pa dažādu materiālu slāņiem vibrējot, tai skaitā ģeotekstils </t>
  </si>
  <si>
    <r>
      <t xml:space="preserve">Dz/bet. aka </t>
    </r>
    <r>
      <rPr>
        <sz val="9"/>
        <rFont val="Calibri"/>
        <family val="2"/>
        <charset val="186"/>
      </rPr>
      <t>Ø1,0m,</t>
    </r>
    <r>
      <rPr>
        <sz val="9"/>
        <rFont val="Tahoma"/>
        <family val="2"/>
        <charset val="186"/>
      </rPr>
      <t xml:space="preserve"> 2m augstums. Ieskaitot dz/bet.dibenu augšējo vāku un čuguna paceļamo vāku </t>
    </r>
  </si>
  <si>
    <t>Kabeļa 3x2,5 montāža, signāllenta</t>
  </si>
  <si>
    <t>Ārējās kanalizācijas caurules T8 montāža Ø160</t>
  </si>
  <si>
    <t>Drenāžas pludiņsūkņa montāža. Sūknis KP 350-A, 0.7 kW, nerūsējošais tērauds
Maksimālā plūsma: 3.89 l/sek</t>
  </si>
  <si>
    <t xml:space="preserve">Sastādīja:______________________________ </t>
  </si>
  <si>
    <t xml:space="preserve">Pārbaudīja:______________________________ </t>
  </si>
  <si>
    <t>Sastādīja:______________________________</t>
  </si>
  <si>
    <t xml:space="preserve">Sastādīja:________________________ </t>
  </si>
  <si>
    <t xml:space="preserve">Pārbaudīja:________________________ </t>
  </si>
  <si>
    <t>Sastādīja:________________________</t>
  </si>
  <si>
    <t>Virsizdevumi  %, tsk darba aizsardzībai (Ls):</t>
  </si>
  <si>
    <t>Peļņa % (Ls):</t>
  </si>
  <si>
    <t>Transporta izmaksas  % no materiālu izmaksām:</t>
  </si>
  <si>
    <t>Transporta izmaksas % no materiālu izmaksām:</t>
  </si>
  <si>
    <t>Sadales skapis 24 moduļiem z/a</t>
  </si>
  <si>
    <t>gab</t>
  </si>
  <si>
    <t>Sadales skapis 12 moduļiem z/a</t>
  </si>
  <si>
    <t>Slodzes slēdzis 1P 16A</t>
  </si>
  <si>
    <t>Slodzes slēdzis 3P 20A</t>
  </si>
  <si>
    <t>Automātslēdzis 6kA 1P 10A B</t>
  </si>
  <si>
    <t>Automātslēdzis 6kA 1P 10A C</t>
  </si>
  <si>
    <t>Automātslēdzis 6kA 1P 16A B</t>
  </si>
  <si>
    <t>Automātslēdzis 6kA 1P 16A C</t>
  </si>
  <si>
    <t>Automātslēdzis 6kA 3P 16A B</t>
  </si>
  <si>
    <t>Pārsprieguma aizsardzība B+C 3+1P 30kA (P-HMS 280 3+1)</t>
  </si>
  <si>
    <t>Pārsprieguma aizsardzība B+C 1+1P 30kA (P-HMS 280 1+1)</t>
  </si>
  <si>
    <t>Diferenciālais automātslēdzis 4P 25A/30mA</t>
  </si>
  <si>
    <t>Diferenciālais automātslēdzis 2P 20A/30mA</t>
  </si>
  <si>
    <t xml:space="preserve">Ventilators sanitārajām telpām </t>
  </si>
  <si>
    <t>Āra apgaismojuma armatūra IP 65 (dizainu saskaņot ar pasūtītāju)</t>
  </si>
  <si>
    <t>Plafonlampa IP44 (dizainu saskaņot ar pasūtītāju)</t>
  </si>
  <si>
    <t>Iebūvējamais gaismeklis halogēnspuldzei GU10</t>
  </si>
  <si>
    <t>Evakuācijas apgaismojums ar virziena norādi (griestu montāža)</t>
  </si>
  <si>
    <t>Lampa TL3020-18w ar rozeti (vai analogs)</t>
  </si>
  <si>
    <t>Patrona/ietvere E27 (griestu montāža)</t>
  </si>
  <si>
    <t>Spuldze (energoekonomiskā) 23W, 230V</t>
  </si>
  <si>
    <t>Spuldze (energoekonomiskā) 20W, 230V</t>
  </si>
  <si>
    <t>Spuldze halogēnā  GU10 35W, 230V</t>
  </si>
  <si>
    <t>Kustības sensors ārējais</t>
  </si>
  <si>
    <t>Kustības sensors iekštelpām</t>
  </si>
  <si>
    <t>Slēdzis 1p. ar rāmīti 230V; 10A (zemapmetuma)</t>
  </si>
  <si>
    <t>Slēdzis 2p. ar rāmīti 230V; 10A  (zemapmetuma)</t>
  </si>
  <si>
    <t>Rozete  ar rāmīti 230V; 16A ar zem., dubulta z/a IP44</t>
  </si>
  <si>
    <t>Rozete  ar rāmīti 230V; 16A ar zem., z/a</t>
  </si>
  <si>
    <t>Rozete  ar rāmīti 230V; 16A ar zem. dubulta, z/a</t>
  </si>
  <si>
    <t xml:space="preserve">Rozete  380V; v/a ar zem. </t>
  </si>
  <si>
    <t>Nozarkārbas z/a</t>
  </si>
  <si>
    <t>Slēdžu kārbas</t>
  </si>
  <si>
    <t>Kārbas dubultas (rozešu)</t>
  </si>
  <si>
    <t>Kabelis PPJ 3x1,5</t>
  </si>
  <si>
    <t>Kabelis PPJ 3x2,5</t>
  </si>
  <si>
    <t>Kabelis PPJ 5x4</t>
  </si>
  <si>
    <t>Kabelis CYKY 5x6</t>
  </si>
  <si>
    <t>Kabelis CYKY 3x4</t>
  </si>
  <si>
    <t>Gofrēta caurule d=25 mm</t>
  </si>
  <si>
    <t>Gofrēta caurule zemē rokamā d=75 mm ar buksieri</t>
  </si>
  <si>
    <t>Palīgmateriāli kabeļu montāžai</t>
  </si>
  <si>
    <t>Zibensuztvērējstienis H3000</t>
  </si>
  <si>
    <t>Uztvērējstieņa stiprinājums</t>
  </si>
  <si>
    <t>Uztvērējstieņa un stieples savienojuma klemme</t>
  </si>
  <si>
    <t>Stieple alumīnija D=8mm</t>
  </si>
  <si>
    <t>Stieple cinkota D=10mm</t>
  </si>
  <si>
    <t>Stiprinājumi stieplei uz jumta plaknes (veidu precizēr atkarībā no jumta seguma veida)</t>
  </si>
  <si>
    <t>Stiprinājumi stieplei pie ūdens notekas  (diametru noskaidrot pirms montāžas)</t>
  </si>
  <si>
    <t>Multi klemme</t>
  </si>
  <si>
    <t>Mērījumu klemme</t>
  </si>
  <si>
    <t>Stiprinājumi stieplei pie ventilācijas caurules (diametru noskaidrot pirms montāžas)</t>
  </si>
  <si>
    <t>Zemējuma lentas un zemējuma stieņa stiprinājuma klemme</t>
  </si>
  <si>
    <t>Ūdens notekas pieslēguma klemme</t>
  </si>
  <si>
    <t>Zemējuma elektrods D20 H=1500</t>
  </si>
  <si>
    <t>Uzgalis elektrodam</t>
  </si>
  <si>
    <t xml:space="preserve">Apaļstieples un zemējuma lentas pievienojuma klemme </t>
  </si>
  <si>
    <t>Termo nosēdošā caurule D16</t>
  </si>
  <si>
    <t>Anti korozijas lenta 50mm/10m</t>
  </si>
  <si>
    <t>Zemējuma lenta cinkota 30x3,5mm</t>
  </si>
  <si>
    <t>Tranšejas rakšana un aizbēršana zemējumam un pievadkabeļiem</t>
  </si>
  <si>
    <t>Kabeļu ievilkšana gofrētajā caurulē</t>
  </si>
  <si>
    <t>Mērījumi un dokumentācijas noformēšana</t>
  </si>
  <si>
    <t>skursteņu skārda jumtiņu izbūve (0.7m2 x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</si>
</sst>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0"/>
      <name val="Arial"/>
      <charset val="186"/>
    </font>
    <font>
      <sz val="8"/>
      <name val="Arial"/>
      <family val="2"/>
      <charset val="186"/>
    </font>
    <font>
      <sz val="10"/>
      <name val="Tahoma"/>
      <family val="2"/>
      <charset val="186"/>
    </font>
    <font>
      <sz val="12"/>
      <name val="LaMelior"/>
      <charset val="186"/>
    </font>
    <font>
      <sz val="11"/>
      <name val="Tahoma"/>
      <family val="2"/>
      <charset val="186"/>
    </font>
    <font>
      <b/>
      <sz val="11"/>
      <name val="Tahoma"/>
      <family val="2"/>
      <charset val="186"/>
    </font>
    <font>
      <sz val="10"/>
      <name val="Helv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sz val="9"/>
      <name val="Arial"/>
      <family val="2"/>
      <charset val="186"/>
    </font>
    <font>
      <b/>
      <sz val="14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9"/>
      <color indexed="10"/>
      <name val="Tahoma"/>
      <family val="2"/>
      <charset val="186"/>
    </font>
    <font>
      <b/>
      <sz val="9"/>
      <color indexed="10"/>
      <name val="Tahoma"/>
      <family val="2"/>
      <charset val="186"/>
    </font>
    <font>
      <b/>
      <sz val="10"/>
      <name val="Tahoma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sz val="8"/>
      <name val="Tahoma"/>
      <family val="2"/>
      <charset val="186"/>
    </font>
    <font>
      <sz val="14"/>
      <color indexed="10"/>
      <name val="Tahoma"/>
      <family val="2"/>
      <charset val="186"/>
    </font>
    <font>
      <sz val="10"/>
      <color indexed="10"/>
      <name val="Tahoma"/>
      <family val="2"/>
      <charset val="186"/>
    </font>
    <font>
      <u/>
      <sz val="10"/>
      <name val="Tahoma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2"/>
      <color indexed="10"/>
      <name val="Tahoma"/>
      <family val="2"/>
      <charset val="186"/>
    </font>
    <font>
      <sz val="8"/>
      <color indexed="10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12"/>
      <color indexed="10"/>
      <name val="Tahoma"/>
      <family val="2"/>
      <charset val="186"/>
    </font>
    <font>
      <sz val="9"/>
      <name val="Tahoma"/>
      <family val="2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9"/>
      <color indexed="8"/>
      <name val="Tahoma"/>
      <family val="2"/>
      <charset val="186"/>
    </font>
    <font>
      <sz val="9"/>
      <name val="Tahoma"/>
      <family val="2"/>
      <charset val="204"/>
    </font>
    <font>
      <sz val="10"/>
      <color rgb="FFFF0000"/>
      <name val="Tahoma"/>
      <family val="2"/>
      <charset val="186"/>
    </font>
    <font>
      <sz val="9"/>
      <color theme="1"/>
      <name val="Tahoma"/>
      <family val="2"/>
      <charset val="186"/>
    </font>
    <font>
      <sz val="9"/>
      <color rgb="FFFF0000"/>
      <name val="Tahoma"/>
      <family val="2"/>
      <charset val="186"/>
    </font>
    <font>
      <sz val="9"/>
      <color indexed="8"/>
      <name val="Tahoma"/>
      <family val="2"/>
      <charset val="204"/>
    </font>
    <font>
      <sz val="9"/>
      <name val="Calibri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5" fillId="23" borderId="7" applyNumberFormat="0" applyFont="0" applyAlignment="0" applyProtection="0"/>
    <xf numFmtId="0" fontId="36" fillId="20" borderId="8" applyNumberFormat="0" applyAlignment="0" applyProtection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/>
    <xf numFmtId="0" fontId="35" fillId="0" borderId="0"/>
    <xf numFmtId="0" fontId="56" fillId="0" borderId="56" applyFont="0" applyFill="0" applyBorder="0" applyAlignment="0" applyProtection="0"/>
  </cellStyleXfs>
  <cellXfs count="630">
    <xf numFmtId="0" fontId="0" fillId="0" borderId="0" xfId="0"/>
    <xf numFmtId="0" fontId="7" fillId="0" borderId="0" xfId="0" applyFont="1" applyFill="1"/>
    <xf numFmtId="0" fontId="13" fillId="0" borderId="0" xfId="0" applyFont="1" applyFill="1" applyBorder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vertical="justify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Continuous" vertical="center" wrapText="1"/>
    </xf>
    <xf numFmtId="0" fontId="41" fillId="0" borderId="0" xfId="0" applyFont="1" applyFill="1" applyBorder="1" applyAlignment="1">
      <alignment horizontal="centerContinuous" vertical="center"/>
    </xf>
    <xf numFmtId="0" fontId="7" fillId="0" borderId="0" xfId="44" applyFont="1" applyFill="1" applyBorder="1" applyAlignment="1">
      <alignment vertical="center"/>
    </xf>
    <xf numFmtId="0" fontId="7" fillId="0" borderId="0" xfId="44" applyFont="1" applyFill="1" applyBorder="1" applyAlignment="1">
      <alignment vertical="justify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9" fontId="7" fillId="0" borderId="24" xfId="48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 applyAlignment="1"/>
    <xf numFmtId="0" fontId="44" fillId="0" borderId="0" xfId="0" applyFont="1" applyFill="1" applyBorder="1" applyAlignment="1">
      <alignment horizontal="center" vertical="center"/>
    </xf>
    <xf numFmtId="0" fontId="2" fillId="0" borderId="0" xfId="43" applyFont="1" applyFill="1" applyBorder="1" applyAlignment="1"/>
    <xf numFmtId="0" fontId="41" fillId="0" borderId="0" xfId="0" applyFont="1" applyFill="1" applyBorder="1" applyAlignment="1"/>
    <xf numFmtId="0" fontId="2" fillId="0" borderId="0" xfId="43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10" fontId="7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7" fillId="0" borderId="21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right"/>
    </xf>
    <xf numFmtId="10" fontId="7" fillId="0" borderId="1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4" fontId="8" fillId="0" borderId="27" xfId="0" applyNumberFormat="1" applyFont="1" applyFill="1" applyBorder="1" applyAlignment="1">
      <alignment horizontal="right" vertical="center"/>
    </xf>
    <xf numFmtId="10" fontId="8" fillId="0" borderId="27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4" fontId="7" fillId="0" borderId="29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 wrapText="1"/>
    </xf>
    <xf numFmtId="4" fontId="8" fillId="0" borderId="31" xfId="0" applyNumberFormat="1" applyFont="1" applyFill="1" applyBorder="1" applyAlignment="1">
      <alignment horizontal="right" vertical="center"/>
    </xf>
    <xf numFmtId="49" fontId="7" fillId="24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vertical="justify"/>
    </xf>
    <xf numFmtId="0" fontId="7" fillId="24" borderId="10" xfId="0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/>
    </xf>
    <xf numFmtId="2" fontId="7" fillId="24" borderId="11" xfId="0" applyNumberFormat="1" applyFont="1" applyFill="1" applyBorder="1" applyAlignment="1">
      <alignment horizontal="center"/>
    </xf>
    <xf numFmtId="2" fontId="7" fillId="24" borderId="14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left" indent="2"/>
    </xf>
    <xf numFmtId="2" fontId="7" fillId="24" borderId="19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 vertical="top"/>
    </xf>
    <xf numFmtId="0" fontId="43" fillId="24" borderId="0" xfId="0" applyFont="1" applyFill="1" applyBorder="1" applyAlignment="1">
      <alignment vertical="center"/>
    </xf>
    <xf numFmtId="49" fontId="7" fillId="24" borderId="24" xfId="0" applyNumberFormat="1" applyFont="1" applyFill="1" applyBorder="1" applyAlignment="1">
      <alignment horizontal="center" vertical="top"/>
    </xf>
    <xf numFmtId="49" fontId="7" fillId="24" borderId="16" xfId="0" applyNumberFormat="1" applyFont="1" applyFill="1" applyBorder="1" applyAlignment="1">
      <alignment horizontal="center" vertical="top"/>
    </xf>
    <xf numFmtId="0" fontId="7" fillId="24" borderId="16" xfId="0" applyFont="1" applyFill="1" applyBorder="1" applyAlignment="1">
      <alignment horizontal="center"/>
    </xf>
    <xf numFmtId="2" fontId="7" fillId="24" borderId="16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2" fontId="7" fillId="24" borderId="13" xfId="45" applyNumberFormat="1" applyFont="1" applyFill="1" applyBorder="1" applyAlignment="1">
      <alignment horizontal="center"/>
    </xf>
    <xf numFmtId="49" fontId="7" fillId="24" borderId="21" xfId="0" applyNumberFormat="1" applyFont="1" applyFill="1" applyBorder="1" applyAlignment="1">
      <alignment horizontal="center" vertical="top"/>
    </xf>
    <xf numFmtId="0" fontId="7" fillId="24" borderId="19" xfId="0" applyFont="1" applyFill="1" applyBorder="1" applyAlignment="1">
      <alignment horizontal="center"/>
    </xf>
    <xf numFmtId="2" fontId="7" fillId="24" borderId="23" xfId="0" applyNumberFormat="1" applyFont="1" applyFill="1" applyBorder="1" applyAlignment="1">
      <alignment horizontal="center"/>
    </xf>
    <xf numFmtId="2" fontId="7" fillId="24" borderId="21" xfId="0" applyNumberFormat="1" applyFont="1" applyFill="1" applyBorder="1" applyAlignment="1">
      <alignment horizontal="center"/>
    </xf>
    <xf numFmtId="2" fontId="7" fillId="24" borderId="20" xfId="0" applyNumberFormat="1" applyFont="1" applyFill="1" applyBorder="1" applyAlignment="1">
      <alignment horizontal="center"/>
    </xf>
    <xf numFmtId="2" fontId="7" fillId="24" borderId="22" xfId="0" applyNumberFormat="1" applyFont="1" applyFill="1" applyBorder="1" applyAlignment="1">
      <alignment horizontal="center"/>
    </xf>
    <xf numFmtId="0" fontId="7" fillId="24" borderId="0" xfId="43" applyFont="1" applyFill="1"/>
    <xf numFmtId="2" fontId="7" fillId="24" borderId="41" xfId="0" applyNumberFormat="1" applyFont="1" applyFill="1" applyBorder="1" applyAlignment="1">
      <alignment horizontal="center"/>
    </xf>
    <xf numFmtId="2" fontId="7" fillId="24" borderId="24" xfId="0" applyNumberFormat="1" applyFont="1" applyFill="1" applyBorder="1" applyAlignment="1">
      <alignment horizontal="center"/>
    </xf>
    <xf numFmtId="2" fontId="7" fillId="24" borderId="42" xfId="0" applyNumberFormat="1" applyFont="1" applyFill="1" applyBorder="1" applyAlignment="1">
      <alignment horizontal="center"/>
    </xf>
    <xf numFmtId="4" fontId="7" fillId="24" borderId="10" xfId="0" applyNumberFormat="1" applyFont="1" applyFill="1" applyBorder="1" applyAlignment="1">
      <alignment horizontal="center" vertical="center"/>
    </xf>
    <xf numFmtId="49" fontId="5" fillId="24" borderId="0" xfId="43" applyNumberFormat="1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horizontal="left" vertical="center"/>
    </xf>
    <xf numFmtId="49" fontId="13" fillId="24" borderId="0" xfId="43" applyNumberFormat="1" applyFont="1" applyFill="1" applyBorder="1" applyAlignment="1">
      <alignment horizontal="center" vertical="center" wrapText="1"/>
    </xf>
    <xf numFmtId="0" fontId="7" fillId="24" borderId="0" xfId="43" applyFont="1" applyFill="1" applyBorder="1" applyAlignment="1">
      <alignment horizontal="centerContinuous" vertical="center" wrapText="1"/>
    </xf>
    <xf numFmtId="0" fontId="7" fillId="24" borderId="0" xfId="43" applyFont="1" applyFill="1" applyBorder="1" applyAlignment="1">
      <alignment horizontal="centerContinuous" vertical="center"/>
    </xf>
    <xf numFmtId="0" fontId="4" fillId="24" borderId="0" xfId="43" applyFont="1" applyFill="1" applyBorder="1" applyAlignment="1">
      <alignment vertical="center"/>
    </xf>
    <xf numFmtId="0" fontId="7" fillId="24" borderId="0" xfId="43" applyFont="1" applyFill="1" applyBorder="1" applyAlignment="1">
      <alignment vertical="center" wrapText="1"/>
    </xf>
    <xf numFmtId="0" fontId="7" fillId="24" borderId="0" xfId="43" applyFont="1" applyFill="1" applyBorder="1" applyAlignment="1">
      <alignment horizontal="center" vertical="center"/>
    </xf>
    <xf numFmtId="0" fontId="8" fillId="24" borderId="0" xfId="43" applyFont="1" applyFill="1" applyBorder="1" applyAlignment="1">
      <alignment vertical="center"/>
    </xf>
    <xf numFmtId="49" fontId="7" fillId="24" borderId="0" xfId="43" applyNumberFormat="1" applyFont="1" applyFill="1" applyBorder="1" applyAlignment="1">
      <alignment horizontal="center" vertical="center" wrapText="1"/>
    </xf>
    <xf numFmtId="0" fontId="7" fillId="24" borderId="0" xfId="43" applyFont="1" applyFill="1" applyBorder="1" applyAlignment="1">
      <alignment horizontal="left" vertical="center"/>
    </xf>
    <xf numFmtId="2" fontId="8" fillId="24" borderId="0" xfId="43" applyNumberFormat="1" applyFont="1" applyFill="1" applyBorder="1" applyAlignment="1">
      <alignment horizontal="left" vertical="center"/>
    </xf>
    <xf numFmtId="0" fontId="8" fillId="24" borderId="0" xfId="43" applyFont="1" applyFill="1" applyBorder="1" applyAlignment="1">
      <alignment horizontal="centerContinuous" vertical="center"/>
    </xf>
    <xf numFmtId="0" fontId="8" fillId="24" borderId="33" xfId="43" applyFont="1" applyFill="1" applyBorder="1" applyAlignment="1">
      <alignment horizontal="center" vertical="center" textRotation="90" wrapText="1"/>
    </xf>
    <xf numFmtId="0" fontId="8" fillId="24" borderId="34" xfId="43" applyFont="1" applyFill="1" applyBorder="1" applyAlignment="1">
      <alignment horizontal="center" vertical="center" textRotation="90" wrapText="1"/>
    </xf>
    <xf numFmtId="0" fontId="8" fillId="24" borderId="35" xfId="43" applyFont="1" applyFill="1" applyBorder="1" applyAlignment="1">
      <alignment horizontal="center" vertical="center" textRotation="90" wrapText="1"/>
    </xf>
    <xf numFmtId="0" fontId="7" fillId="24" borderId="0" xfId="0" applyFont="1" applyFill="1" applyBorder="1" applyAlignment="1"/>
    <xf numFmtId="0" fontId="7" fillId="24" borderId="0" xfId="0" applyFont="1" applyFill="1" applyBorder="1" applyAlignment="1">
      <alignment horizontal="right" vertical="center" wrapText="1"/>
    </xf>
    <xf numFmtId="49" fontId="7" fillId="24" borderId="0" xfId="43" applyNumberFormat="1" applyFont="1" applyFill="1"/>
    <xf numFmtId="0" fontId="7" fillId="24" borderId="0" xfId="0" applyFont="1" applyFill="1" applyBorder="1" applyAlignment="1">
      <alignment horizontal="right"/>
    </xf>
    <xf numFmtId="0" fontId="5" fillId="24" borderId="0" xfId="43" applyFont="1" applyFill="1" applyBorder="1" applyAlignment="1">
      <alignment horizontal="center" vertical="center"/>
    </xf>
    <xf numFmtId="0" fontId="8" fillId="24" borderId="32" xfId="43" applyFont="1" applyFill="1" applyBorder="1" applyAlignment="1">
      <alignment horizontal="center" vertical="center" textRotation="90" wrapText="1"/>
    </xf>
    <xf numFmtId="0" fontId="7" fillId="24" borderId="21" xfId="37" applyFont="1" applyFill="1" applyBorder="1" applyAlignment="1">
      <alignment horizontal="center" vertical="top"/>
    </xf>
    <xf numFmtId="49" fontId="7" fillId="24" borderId="19" xfId="37" applyNumberFormat="1" applyFont="1" applyFill="1" applyBorder="1" applyAlignment="1">
      <alignment horizontal="center" vertical="top"/>
    </xf>
    <xf numFmtId="0" fontId="7" fillId="24" borderId="19" xfId="37" applyFont="1" applyFill="1" applyBorder="1" applyAlignment="1">
      <alignment horizontal="left" indent="2"/>
    </xf>
    <xf numFmtId="0" fontId="7" fillId="24" borderId="19" xfId="37" applyFont="1" applyFill="1" applyBorder="1" applyAlignment="1">
      <alignment horizontal="center"/>
    </xf>
    <xf numFmtId="2" fontId="7" fillId="24" borderId="19" xfId="37" applyNumberFormat="1" applyFont="1" applyFill="1" applyBorder="1" applyAlignment="1">
      <alignment horizontal="center"/>
    </xf>
    <xf numFmtId="0" fontId="7" fillId="24" borderId="19" xfId="37" applyFont="1" applyFill="1" applyBorder="1"/>
    <xf numFmtId="2" fontId="7" fillId="24" borderId="20" xfId="37" applyNumberFormat="1" applyFont="1" applyFill="1" applyBorder="1" applyAlignment="1">
      <alignment horizontal="center"/>
    </xf>
    <xf numFmtId="2" fontId="7" fillId="24" borderId="23" xfId="37" applyNumberFormat="1" applyFont="1" applyFill="1" applyBorder="1" applyAlignment="1">
      <alignment horizontal="center"/>
    </xf>
    <xf numFmtId="2" fontId="7" fillId="24" borderId="22" xfId="37" applyNumberFormat="1" applyFont="1" applyFill="1" applyBorder="1" applyAlignment="1">
      <alignment horizontal="center"/>
    </xf>
    <xf numFmtId="2" fontId="7" fillId="24" borderId="21" xfId="37" applyNumberFormat="1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25" borderId="10" xfId="0" applyFont="1" applyFill="1" applyBorder="1" applyAlignment="1">
      <alignment vertical="top" wrapText="1"/>
    </xf>
    <xf numFmtId="2" fontId="7" fillId="25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2" fontId="7" fillId="25" borderId="13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/>
    </xf>
    <xf numFmtId="10" fontId="7" fillId="0" borderId="2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24" borderId="36" xfId="43" applyNumberFormat="1" applyFont="1" applyFill="1" applyBorder="1" applyAlignment="1">
      <alignment horizontal="center"/>
    </xf>
    <xf numFmtId="4" fontId="7" fillId="24" borderId="27" xfId="43" applyNumberFormat="1" applyFont="1" applyFill="1" applyBorder="1" applyAlignment="1">
      <alignment horizontal="center"/>
    </xf>
    <xf numFmtId="4" fontId="7" fillId="24" borderId="17" xfId="43" applyNumberFormat="1" applyFont="1" applyFill="1" applyBorder="1" applyAlignment="1">
      <alignment horizontal="center"/>
    </xf>
    <xf numFmtId="4" fontId="7" fillId="24" borderId="37" xfId="43" applyNumberFormat="1" applyFont="1" applyFill="1" applyBorder="1"/>
    <xf numFmtId="4" fontId="7" fillId="24" borderId="29" xfId="43" applyNumberFormat="1" applyFont="1" applyFill="1" applyBorder="1"/>
    <xf numFmtId="4" fontId="7" fillId="24" borderId="18" xfId="43" applyNumberFormat="1" applyFont="1" applyFill="1" applyBorder="1" applyAlignment="1">
      <alignment horizontal="center"/>
    </xf>
    <xf numFmtId="4" fontId="7" fillId="24" borderId="38" xfId="43" applyNumberFormat="1" applyFont="1" applyFill="1" applyBorder="1" applyAlignment="1">
      <alignment horizontal="center"/>
    </xf>
    <xf numFmtId="4" fontId="7" fillId="24" borderId="31" xfId="43" applyNumberFormat="1" applyFont="1" applyFill="1" applyBorder="1" applyAlignment="1">
      <alignment horizontal="center"/>
    </xf>
    <xf numFmtId="4" fontId="7" fillId="24" borderId="25" xfId="43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center" vertical="center"/>
    </xf>
    <xf numFmtId="4" fontId="7" fillId="24" borderId="26" xfId="43" applyNumberFormat="1" applyFont="1" applyFill="1" applyBorder="1" applyAlignment="1">
      <alignment horizontal="center"/>
    </xf>
    <xf numFmtId="4" fontId="7" fillId="24" borderId="30" xfId="43" applyNumberFormat="1" applyFont="1" applyFill="1" applyBorder="1" applyAlignment="1">
      <alignment horizontal="center"/>
    </xf>
    <xf numFmtId="4" fontId="7" fillId="24" borderId="49" xfId="4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49" fontId="7" fillId="24" borderId="24" xfId="48" applyNumberFormat="1" applyFont="1" applyFill="1" applyBorder="1" applyAlignment="1">
      <alignment horizontal="center" vertical="center" wrapText="1"/>
    </xf>
    <xf numFmtId="4" fontId="7" fillId="24" borderId="16" xfId="0" applyNumberFormat="1" applyFont="1" applyFill="1" applyBorder="1" applyAlignment="1">
      <alignment horizontal="center" vertical="center"/>
    </xf>
    <xf numFmtId="4" fontId="2" fillId="24" borderId="16" xfId="0" applyNumberFormat="1" applyFont="1" applyFill="1" applyBorder="1" applyAlignment="1">
      <alignment horizontal="center" vertical="center"/>
    </xf>
    <xf numFmtId="4" fontId="2" fillId="24" borderId="15" xfId="0" applyNumberFormat="1" applyFont="1" applyFill="1" applyBorder="1" applyAlignment="1">
      <alignment horizontal="center" vertical="center"/>
    </xf>
    <xf numFmtId="49" fontId="7" fillId="24" borderId="12" xfId="48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/>
    </xf>
    <xf numFmtId="49" fontId="7" fillId="24" borderId="21" xfId="48" applyNumberFormat="1" applyFont="1" applyFill="1" applyBorder="1" applyAlignment="1">
      <alignment horizontal="center" vertical="center" wrapText="1"/>
    </xf>
    <xf numFmtId="0" fontId="8" fillId="24" borderId="0" xfId="43" applyFont="1" applyFill="1"/>
    <xf numFmtId="0" fontId="7" fillId="24" borderId="16" xfId="0" applyFont="1" applyFill="1" applyBorder="1" applyAlignment="1">
      <alignment vertical="justify"/>
    </xf>
    <xf numFmtId="0" fontId="7" fillId="24" borderId="10" xfId="0" applyNumberFormat="1" applyFont="1" applyFill="1" applyBorder="1" applyAlignment="1">
      <alignment vertical="justify"/>
    </xf>
    <xf numFmtId="0" fontId="7" fillId="24" borderId="10" xfId="0" applyNumberFormat="1" applyFont="1" applyFill="1" applyBorder="1" applyAlignment="1">
      <alignment horizontal="center"/>
    </xf>
    <xf numFmtId="0" fontId="7" fillId="24" borderId="10" xfId="0" applyNumberFormat="1" applyFont="1" applyFill="1" applyBorder="1" applyAlignment="1">
      <alignment horizontal="left" vertical="center" indent="2"/>
    </xf>
    <xf numFmtId="49" fontId="7" fillId="24" borderId="19" xfId="0" applyNumberFormat="1" applyFont="1" applyFill="1" applyBorder="1" applyAlignment="1">
      <alignment horizontal="center" vertical="top"/>
    </xf>
    <xf numFmtId="0" fontId="7" fillId="24" borderId="19" xfId="0" applyNumberFormat="1" applyFont="1" applyFill="1" applyBorder="1" applyAlignment="1">
      <alignment horizontal="left" vertical="center" indent="2"/>
    </xf>
    <xf numFmtId="2" fontId="7" fillId="0" borderId="13" xfId="0" applyNumberFormat="1" applyFont="1" applyFill="1" applyBorder="1" applyAlignment="1">
      <alignment horizontal="center"/>
    </xf>
    <xf numFmtId="2" fontId="7" fillId="0" borderId="10" xfId="49" applyNumberFormat="1" applyFont="1" applyFill="1" applyBorder="1" applyAlignment="1">
      <alignment horizontal="center"/>
    </xf>
    <xf numFmtId="49" fontId="7" fillId="0" borderId="12" xfId="49" applyNumberFormat="1" applyFont="1" applyFill="1" applyBorder="1" applyAlignment="1">
      <alignment horizontal="center" vertical="top"/>
    </xf>
    <xf numFmtId="49" fontId="7" fillId="0" borderId="10" xfId="49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/>
    </xf>
    <xf numFmtId="2" fontId="7" fillId="0" borderId="12" xfId="49" applyNumberFormat="1" applyFont="1" applyFill="1" applyBorder="1" applyAlignment="1">
      <alignment horizontal="center"/>
    </xf>
    <xf numFmtId="2" fontId="7" fillId="0" borderId="10" xfId="44" applyNumberFormat="1" applyFont="1" applyFill="1" applyBorder="1" applyAlignment="1">
      <alignment horizontal="center"/>
    </xf>
    <xf numFmtId="2" fontId="7" fillId="0" borderId="11" xfId="49" applyNumberFormat="1" applyFont="1" applyFill="1" applyBorder="1" applyAlignment="1">
      <alignment horizontal="center"/>
    </xf>
    <xf numFmtId="2" fontId="7" fillId="0" borderId="14" xfId="49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indent="2"/>
    </xf>
    <xf numFmtId="2" fontId="7" fillId="0" borderId="12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4" fontId="7" fillId="0" borderId="13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7" fillId="0" borderId="10" xfId="44" applyFont="1" applyFill="1" applyBorder="1" applyAlignment="1">
      <alignment horizontal="center"/>
    </xf>
    <xf numFmtId="2" fontId="7" fillId="0" borderId="11" xfId="44" applyNumberFormat="1" applyFont="1" applyFill="1" applyBorder="1" applyAlignment="1">
      <alignment horizontal="center"/>
    </xf>
    <xf numFmtId="2" fontId="7" fillId="0" borderId="14" xfId="44" applyNumberFormat="1" applyFont="1" applyFill="1" applyBorder="1" applyAlignment="1">
      <alignment horizontal="center"/>
    </xf>
    <xf numFmtId="0" fontId="7" fillId="0" borderId="10" xfId="49" applyFont="1" applyFill="1" applyBorder="1" applyAlignment="1">
      <alignment horizontal="center"/>
    </xf>
    <xf numFmtId="0" fontId="7" fillId="0" borderId="10" xfId="49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 vertical="justify" indent="2"/>
    </xf>
    <xf numFmtId="2" fontId="7" fillId="0" borderId="10" xfId="39" applyNumberFormat="1" applyFont="1" applyFill="1" applyBorder="1" applyAlignment="1">
      <alignment horizontal="center"/>
    </xf>
    <xf numFmtId="0" fontId="7" fillId="0" borderId="0" xfId="43" applyFont="1" applyFill="1"/>
    <xf numFmtId="0" fontId="5" fillId="0" borderId="0" xfId="43" applyFont="1" applyFill="1" applyBorder="1" applyAlignment="1">
      <alignment horizontal="center" vertical="center"/>
    </xf>
    <xf numFmtId="49" fontId="5" fillId="0" borderId="0" xfId="43" applyNumberFormat="1" applyFont="1" applyFill="1" applyBorder="1" applyAlignment="1">
      <alignment horizontal="center" vertical="center"/>
    </xf>
    <xf numFmtId="0" fontId="4" fillId="0" borderId="0" xfId="43" applyFont="1" applyFill="1" applyBorder="1" applyAlignment="1">
      <alignment horizontal="left" vertical="center"/>
    </xf>
    <xf numFmtId="49" fontId="13" fillId="0" borderId="0" xfId="43" applyNumberFormat="1" applyFont="1" applyFill="1" applyBorder="1" applyAlignment="1">
      <alignment horizontal="center" vertical="center" wrapText="1"/>
    </xf>
    <xf numFmtId="0" fontId="7" fillId="0" borderId="0" xfId="43" applyFont="1" applyFill="1" applyBorder="1" applyAlignment="1">
      <alignment horizontal="centerContinuous" vertical="center" wrapText="1"/>
    </xf>
    <xf numFmtId="0" fontId="7" fillId="0" borderId="0" xfId="43" applyFont="1" applyFill="1" applyBorder="1" applyAlignment="1">
      <alignment horizontal="centerContinuous" vertical="center"/>
    </xf>
    <xf numFmtId="0" fontId="4" fillId="0" borderId="0" xfId="43" applyFont="1" applyFill="1" applyBorder="1" applyAlignment="1">
      <alignment vertical="center"/>
    </xf>
    <xf numFmtId="0" fontId="7" fillId="0" borderId="0" xfId="43" applyFont="1" applyFill="1" applyBorder="1" applyAlignment="1">
      <alignment vertical="center" wrapText="1"/>
    </xf>
    <xf numFmtId="0" fontId="7" fillId="0" borderId="0" xfId="43" applyFont="1" applyFill="1" applyBorder="1" applyAlignment="1">
      <alignment horizontal="center" vertical="center"/>
    </xf>
    <xf numFmtId="0" fontId="8" fillId="0" borderId="0" xfId="43" applyFont="1" applyFill="1" applyBorder="1" applyAlignment="1">
      <alignment vertical="center"/>
    </xf>
    <xf numFmtId="49" fontId="7" fillId="0" borderId="0" xfId="43" applyNumberFormat="1" applyFont="1" applyFill="1" applyBorder="1" applyAlignment="1">
      <alignment horizontal="center" vertical="center" wrapText="1"/>
    </xf>
    <xf numFmtId="0" fontId="7" fillId="0" borderId="0" xfId="43" applyFont="1" applyFill="1" applyBorder="1" applyAlignment="1">
      <alignment horizontal="left" vertical="center"/>
    </xf>
    <xf numFmtId="2" fontId="8" fillId="0" borderId="0" xfId="43" applyNumberFormat="1" applyFont="1" applyFill="1" applyBorder="1" applyAlignment="1">
      <alignment horizontal="left" vertical="center"/>
    </xf>
    <xf numFmtId="0" fontId="8" fillId="0" borderId="0" xfId="43" applyFont="1" applyFill="1" applyBorder="1" applyAlignment="1">
      <alignment horizontal="centerContinuous" vertical="center"/>
    </xf>
    <xf numFmtId="0" fontId="8" fillId="0" borderId="33" xfId="43" applyFont="1" applyFill="1" applyBorder="1" applyAlignment="1">
      <alignment horizontal="center" vertical="center" textRotation="90" wrapText="1"/>
    </xf>
    <xf numFmtId="0" fontId="8" fillId="0" borderId="34" xfId="43" applyFont="1" applyFill="1" applyBorder="1" applyAlignment="1">
      <alignment horizontal="center" vertical="center" textRotation="90" wrapText="1"/>
    </xf>
    <xf numFmtId="0" fontId="7" fillId="0" borderId="12" xfId="44" applyFont="1" applyFill="1" applyBorder="1" applyAlignment="1">
      <alignment horizontal="center" vertical="top"/>
    </xf>
    <xf numFmtId="0" fontId="13" fillId="0" borderId="10" xfId="44" applyFont="1" applyFill="1" applyBorder="1" applyAlignment="1">
      <alignment horizontal="center" vertical="top"/>
    </xf>
    <xf numFmtId="2" fontId="13" fillId="0" borderId="12" xfId="39" applyNumberFormat="1" applyFont="1" applyFill="1" applyBorder="1" applyAlignment="1">
      <alignment horizontal="center"/>
    </xf>
    <xf numFmtId="4" fontId="7" fillId="0" borderId="26" xfId="43" applyNumberFormat="1" applyFont="1" applyFill="1" applyBorder="1" applyAlignment="1">
      <alignment horizontal="center"/>
    </xf>
    <xf numFmtId="4" fontId="7" fillId="0" borderId="36" xfId="43" applyNumberFormat="1" applyFont="1" applyFill="1" applyBorder="1" applyAlignment="1">
      <alignment horizontal="center"/>
    </xf>
    <xf numFmtId="4" fontId="7" fillId="0" borderId="27" xfId="43" applyNumberFormat="1" applyFont="1" applyFill="1" applyBorder="1" applyAlignment="1">
      <alignment horizontal="center"/>
    </xf>
    <xf numFmtId="4" fontId="7" fillId="0" borderId="17" xfId="43" applyNumberFormat="1" applyFont="1" applyFill="1" applyBorder="1" applyAlignment="1">
      <alignment horizontal="center"/>
    </xf>
    <xf numFmtId="4" fontId="7" fillId="0" borderId="37" xfId="43" applyNumberFormat="1" applyFont="1" applyFill="1" applyBorder="1"/>
    <xf numFmtId="4" fontId="7" fillId="0" borderId="29" xfId="43" applyNumberFormat="1" applyFont="1" applyFill="1" applyBorder="1"/>
    <xf numFmtId="4" fontId="7" fillId="0" borderId="18" xfId="43" applyNumberFormat="1" applyFont="1" applyFill="1" applyBorder="1" applyAlignment="1">
      <alignment horizontal="center"/>
    </xf>
    <xf numFmtId="4" fontId="7" fillId="0" borderId="30" xfId="43" applyNumberFormat="1" applyFont="1" applyFill="1" applyBorder="1" applyAlignment="1">
      <alignment horizontal="center"/>
    </xf>
    <xf numFmtId="4" fontId="7" fillId="0" borderId="31" xfId="43" applyNumberFormat="1" applyFont="1" applyFill="1" applyBorder="1" applyAlignment="1">
      <alignment horizontal="center"/>
    </xf>
    <xf numFmtId="4" fontId="7" fillId="0" borderId="25" xfId="43" applyNumberFormat="1" applyFont="1" applyFill="1" applyBorder="1" applyAlignment="1">
      <alignment horizontal="center"/>
    </xf>
    <xf numFmtId="0" fontId="8" fillId="0" borderId="0" xfId="43" applyFont="1" applyFill="1"/>
    <xf numFmtId="49" fontId="7" fillId="0" borderId="0" xfId="43" applyNumberFormat="1" applyFont="1" applyFill="1"/>
    <xf numFmtId="0" fontId="7" fillId="0" borderId="0" xfId="0" applyFont="1" applyFill="1" applyBorder="1" applyAlignment="1"/>
    <xf numFmtId="2" fontId="7" fillId="0" borderId="13" xfId="49" applyNumberFormat="1" applyFont="1" applyFill="1" applyBorder="1" applyAlignment="1">
      <alignment horizontal="center"/>
    </xf>
    <xf numFmtId="0" fontId="7" fillId="0" borderId="10" xfId="49" applyFont="1" applyFill="1" applyBorder="1" applyAlignment="1">
      <alignment horizontal="left" vertical="justify" indent="2"/>
    </xf>
    <xf numFmtId="49" fontId="7" fillId="0" borderId="10" xfId="0" applyNumberFormat="1" applyFont="1" applyFill="1" applyBorder="1" applyAlignment="1">
      <alignment horizontal="left" vertical="justify" indent="2"/>
    </xf>
    <xf numFmtId="2" fontId="49" fillId="0" borderId="10" xfId="0" applyNumberFormat="1" applyFont="1" applyFill="1" applyBorder="1" applyAlignment="1">
      <alignment horizontal="center"/>
    </xf>
    <xf numFmtId="0" fontId="7" fillId="0" borderId="10" xfId="49" applyFont="1" applyFill="1" applyBorder="1" applyAlignment="1">
      <alignment horizontal="left" wrapText="1" indent="2"/>
    </xf>
    <xf numFmtId="2" fontId="51" fillId="0" borderId="13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 vertical="justify" indent="2"/>
    </xf>
    <xf numFmtId="49" fontId="51" fillId="0" borderId="12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>
      <alignment horizontal="left" vertical="justify" indent="2"/>
    </xf>
    <xf numFmtId="0" fontId="51" fillId="0" borderId="10" xfId="0" applyFont="1" applyFill="1" applyBorder="1" applyAlignment="1">
      <alignment horizontal="center"/>
    </xf>
    <xf numFmtId="2" fontId="51" fillId="0" borderId="12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2" fontId="51" fillId="0" borderId="14" xfId="0" applyNumberFormat="1" applyFont="1" applyFill="1" applyBorder="1" applyAlignment="1">
      <alignment horizontal="center"/>
    </xf>
    <xf numFmtId="0" fontId="7" fillId="0" borderId="12" xfId="37" applyFont="1" applyFill="1" applyBorder="1" applyAlignment="1">
      <alignment horizontal="center" vertical="top"/>
    </xf>
    <xf numFmtId="49" fontId="7" fillId="0" borderId="10" xfId="37" applyNumberFormat="1" applyFont="1" applyFill="1" applyBorder="1" applyAlignment="1">
      <alignment horizontal="center" vertical="top"/>
    </xf>
    <xf numFmtId="0" fontId="7" fillId="0" borderId="10" xfId="37" applyFont="1" applyFill="1" applyBorder="1"/>
    <xf numFmtId="0" fontId="7" fillId="0" borderId="10" xfId="37" applyFont="1" applyFill="1" applyBorder="1" applyAlignment="1">
      <alignment horizontal="center"/>
    </xf>
    <xf numFmtId="2" fontId="7" fillId="0" borderId="12" xfId="37" applyNumberFormat="1" applyFont="1" applyFill="1" applyBorder="1" applyAlignment="1">
      <alignment horizontal="center"/>
    </xf>
    <xf numFmtId="2" fontId="7" fillId="0" borderId="10" xfId="37" applyNumberFormat="1" applyFont="1" applyFill="1" applyBorder="1" applyAlignment="1">
      <alignment horizontal="center"/>
    </xf>
    <xf numFmtId="2" fontId="7" fillId="0" borderId="11" xfId="37" applyNumberFormat="1" applyFont="1" applyFill="1" applyBorder="1" applyAlignment="1">
      <alignment horizontal="center"/>
    </xf>
    <xf numFmtId="2" fontId="7" fillId="0" borderId="14" xfId="37" applyNumberFormat="1" applyFont="1" applyFill="1" applyBorder="1" applyAlignment="1">
      <alignment horizontal="center"/>
    </xf>
    <xf numFmtId="0" fontId="7" fillId="0" borderId="10" xfId="37" applyFont="1" applyFill="1" applyBorder="1" applyAlignment="1">
      <alignment horizontal="left" indent="2"/>
    </xf>
    <xf numFmtId="2" fontId="7" fillId="0" borderId="13" xfId="37" applyNumberFormat="1" applyFont="1" applyFill="1" applyBorder="1" applyAlignment="1">
      <alignment horizontal="center"/>
    </xf>
    <xf numFmtId="0" fontId="49" fillId="0" borderId="12" xfId="37" applyFont="1" applyFill="1" applyBorder="1" applyAlignment="1">
      <alignment horizontal="center" vertical="top"/>
    </xf>
    <xf numFmtId="49" fontId="49" fillId="0" borderId="10" xfId="37" applyNumberFormat="1" applyFont="1" applyFill="1" applyBorder="1" applyAlignment="1">
      <alignment horizontal="center" vertical="top"/>
    </xf>
    <xf numFmtId="0" fontId="49" fillId="0" borderId="10" xfId="37" applyFont="1" applyFill="1" applyBorder="1" applyAlignment="1">
      <alignment horizontal="left" indent="2"/>
    </xf>
    <xf numFmtId="0" fontId="49" fillId="0" borderId="10" xfId="37" applyFont="1" applyFill="1" applyBorder="1" applyAlignment="1">
      <alignment horizontal="center"/>
    </xf>
    <xf numFmtId="2" fontId="49" fillId="0" borderId="13" xfId="37" applyNumberFormat="1" applyFont="1" applyFill="1" applyBorder="1" applyAlignment="1">
      <alignment horizontal="center"/>
    </xf>
    <xf numFmtId="2" fontId="49" fillId="0" borderId="12" xfId="37" applyNumberFormat="1" applyFont="1" applyFill="1" applyBorder="1" applyAlignment="1">
      <alignment horizontal="center"/>
    </xf>
    <xf numFmtId="0" fontId="49" fillId="0" borderId="10" xfId="37" applyFont="1" applyFill="1" applyBorder="1"/>
    <xf numFmtId="2" fontId="49" fillId="0" borderId="10" xfId="37" applyNumberFormat="1" applyFont="1" applyFill="1" applyBorder="1" applyAlignment="1">
      <alignment horizontal="center"/>
    </xf>
    <xf numFmtId="2" fontId="49" fillId="0" borderId="11" xfId="37" applyNumberFormat="1" applyFont="1" applyFill="1" applyBorder="1" applyAlignment="1">
      <alignment horizontal="center"/>
    </xf>
    <xf numFmtId="2" fontId="49" fillId="0" borderId="14" xfId="37" applyNumberFormat="1" applyFont="1" applyFill="1" applyBorder="1" applyAlignment="1">
      <alignment horizontal="center"/>
    </xf>
    <xf numFmtId="49" fontId="49" fillId="0" borderId="12" xfId="49" applyNumberFormat="1" applyFont="1" applyFill="1" applyBorder="1" applyAlignment="1">
      <alignment horizontal="center" vertical="top"/>
    </xf>
    <xf numFmtId="49" fontId="49" fillId="0" borderId="10" xfId="49" applyNumberFormat="1" applyFont="1" applyFill="1" applyBorder="1" applyAlignment="1">
      <alignment horizontal="center" vertical="top"/>
    </xf>
    <xf numFmtId="0" fontId="49" fillId="0" borderId="10" xfId="49" applyFont="1" applyFill="1" applyBorder="1" applyAlignment="1">
      <alignment horizontal="left" vertical="justify" indent="2"/>
    </xf>
    <xf numFmtId="0" fontId="49" fillId="0" borderId="10" xfId="49" applyFont="1" applyFill="1" applyBorder="1" applyAlignment="1">
      <alignment horizontal="center"/>
    </xf>
    <xf numFmtId="2" fontId="49" fillId="0" borderId="13" xfId="45" applyNumberFormat="1" applyFont="1" applyFill="1" applyBorder="1" applyAlignment="1">
      <alignment horizontal="center"/>
    </xf>
    <xf numFmtId="2" fontId="49" fillId="0" borderId="12" xfId="49" applyNumberFormat="1" applyFont="1" applyFill="1" applyBorder="1" applyAlignment="1">
      <alignment horizontal="center"/>
    </xf>
    <xf numFmtId="2" fontId="49" fillId="0" borderId="10" xfId="49" applyNumberFormat="1" applyFont="1" applyFill="1" applyBorder="1" applyAlignment="1">
      <alignment horizontal="center"/>
    </xf>
    <xf numFmtId="2" fontId="49" fillId="0" borderId="11" xfId="49" applyNumberFormat="1" applyFont="1" applyFill="1" applyBorder="1" applyAlignment="1">
      <alignment horizontal="center"/>
    </xf>
    <xf numFmtId="2" fontId="49" fillId="0" borderId="14" xfId="49" applyNumberFormat="1" applyFont="1" applyFill="1" applyBorder="1" applyAlignment="1">
      <alignment horizontal="center"/>
    </xf>
    <xf numFmtId="0" fontId="7" fillId="0" borderId="21" xfId="37" applyFont="1" applyFill="1" applyBorder="1" applyAlignment="1">
      <alignment horizontal="center" vertical="top"/>
    </xf>
    <xf numFmtId="49" fontId="7" fillId="0" borderId="19" xfId="37" applyNumberFormat="1" applyFont="1" applyFill="1" applyBorder="1" applyAlignment="1">
      <alignment horizontal="center" vertical="top"/>
    </xf>
    <xf numFmtId="0" fontId="7" fillId="0" borderId="19" xfId="37" applyFont="1" applyFill="1" applyBorder="1" applyAlignment="1">
      <alignment horizontal="left" indent="2"/>
    </xf>
    <xf numFmtId="0" fontId="7" fillId="0" borderId="19" xfId="37" applyFont="1" applyFill="1" applyBorder="1" applyAlignment="1">
      <alignment horizontal="center"/>
    </xf>
    <xf numFmtId="2" fontId="7" fillId="0" borderId="23" xfId="37" applyNumberFormat="1" applyFont="1" applyFill="1" applyBorder="1" applyAlignment="1">
      <alignment horizontal="center"/>
    </xf>
    <xf numFmtId="2" fontId="7" fillId="0" borderId="21" xfId="37" applyNumberFormat="1" applyFont="1" applyFill="1" applyBorder="1" applyAlignment="1">
      <alignment horizontal="center"/>
    </xf>
    <xf numFmtId="0" fontId="7" fillId="0" borderId="19" xfId="37" applyFont="1" applyFill="1" applyBorder="1"/>
    <xf numFmtId="2" fontId="7" fillId="0" borderId="19" xfId="37" applyNumberFormat="1" applyFont="1" applyFill="1" applyBorder="1" applyAlignment="1">
      <alignment horizontal="center"/>
    </xf>
    <xf numFmtId="2" fontId="7" fillId="0" borderId="20" xfId="37" applyNumberFormat="1" applyFont="1" applyFill="1" applyBorder="1" applyAlignment="1">
      <alignment horizontal="center"/>
    </xf>
    <xf numFmtId="2" fontId="7" fillId="0" borderId="22" xfId="37" applyNumberFormat="1" applyFont="1" applyFill="1" applyBorder="1" applyAlignment="1">
      <alignment horizontal="center"/>
    </xf>
    <xf numFmtId="4" fontId="7" fillId="0" borderId="49" xfId="43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/>
    </xf>
    <xf numFmtId="4" fontId="9" fillId="0" borderId="12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textRotation="90" wrapText="1"/>
    </xf>
    <xf numFmtId="4" fontId="8" fillId="0" borderId="11" xfId="0" applyNumberFormat="1" applyFont="1" applyFill="1" applyBorder="1" applyAlignment="1">
      <alignment horizontal="center" vertical="center" textRotation="90" wrapText="1"/>
    </xf>
    <xf numFmtId="4" fontId="8" fillId="0" borderId="14" xfId="0" applyNumberFormat="1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left" indent="2"/>
    </xf>
    <xf numFmtId="0" fontId="7" fillId="0" borderId="12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indent="2"/>
    </xf>
    <xf numFmtId="0" fontId="7" fillId="0" borderId="12" xfId="0" applyFont="1" applyFill="1" applyBorder="1"/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2" fontId="49" fillId="0" borderId="13" xfId="49" applyNumberFormat="1" applyFont="1" applyFill="1" applyBorder="1" applyAlignment="1">
      <alignment horizontal="center"/>
    </xf>
    <xf numFmtId="0" fontId="45" fillId="0" borderId="10" xfId="49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43" applyFont="1" applyFill="1" applyBorder="1" applyAlignment="1">
      <alignment horizontal="center" vertical="center" textRotation="90" wrapText="1"/>
    </xf>
    <xf numFmtId="0" fontId="8" fillId="0" borderId="20" xfId="43" applyFont="1" applyFill="1" applyBorder="1" applyAlignment="1">
      <alignment horizontal="center" vertical="center" textRotation="90" wrapText="1"/>
    </xf>
    <xf numFmtId="0" fontId="8" fillId="0" borderId="22" xfId="43" applyFont="1" applyFill="1" applyBorder="1" applyAlignment="1">
      <alignment horizontal="center" vertical="center" textRotation="90" wrapText="1"/>
    </xf>
    <xf numFmtId="49" fontId="7" fillId="0" borderId="32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left" indent="2"/>
    </xf>
    <xf numFmtId="0" fontId="7" fillId="0" borderId="33" xfId="0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43" applyFont="1" applyFill="1" applyBorder="1" applyAlignment="1">
      <alignment horizontal="center" vertical="center"/>
    </xf>
    <xf numFmtId="0" fontId="8" fillId="0" borderId="21" xfId="43" applyFont="1" applyFill="1" applyBorder="1" applyAlignment="1">
      <alignment horizontal="center" vertical="center" textRotation="90" wrapText="1"/>
    </xf>
    <xf numFmtId="0" fontId="8" fillId="0" borderId="5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2" fontId="7" fillId="0" borderId="13" xfId="42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" fontId="7" fillId="0" borderId="10" xfId="44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 indent="2"/>
    </xf>
    <xf numFmtId="4" fontId="7" fillId="0" borderId="10" xfId="0" applyNumberFormat="1" applyFont="1" applyFill="1" applyBorder="1"/>
    <xf numFmtId="4" fontId="7" fillId="0" borderId="14" xfId="0" applyNumberFormat="1" applyFont="1" applyFill="1" applyBorder="1"/>
    <xf numFmtId="4" fontId="8" fillId="0" borderId="1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7" fillId="25" borderId="13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52" xfId="44" applyFont="1" applyFill="1" applyBorder="1" applyAlignment="1">
      <alignment horizontal="center"/>
    </xf>
    <xf numFmtId="49" fontId="7" fillId="0" borderId="51" xfId="44" applyNumberFormat="1" applyFont="1" applyFill="1" applyBorder="1" applyAlignment="1">
      <alignment horizontal="center"/>
    </xf>
    <xf numFmtId="0" fontId="7" fillId="0" borderId="51" xfId="49" applyFont="1" applyFill="1" applyBorder="1" applyAlignment="1">
      <alignment horizontal="center"/>
    </xf>
    <xf numFmtId="2" fontId="52" fillId="0" borderId="53" xfId="49" applyNumberFormat="1" applyFont="1" applyFill="1" applyBorder="1" applyAlignment="1">
      <alignment horizontal="center"/>
    </xf>
    <xf numFmtId="2" fontId="7" fillId="0" borderId="52" xfId="49" applyNumberFormat="1" applyFont="1" applyFill="1" applyBorder="1" applyAlignment="1">
      <alignment horizontal="center"/>
    </xf>
    <xf numFmtId="2" fontId="7" fillId="0" borderId="51" xfId="49" applyNumberFormat="1" applyFont="1" applyFill="1" applyBorder="1" applyAlignment="1">
      <alignment horizontal="center"/>
    </xf>
    <xf numFmtId="2" fontId="7" fillId="0" borderId="54" xfId="49" applyNumberFormat="1" applyFont="1" applyFill="1" applyBorder="1" applyAlignment="1">
      <alignment horizontal="center"/>
    </xf>
    <xf numFmtId="2" fontId="7" fillId="0" borderId="55" xfId="49" applyNumberFormat="1" applyFont="1" applyFill="1" applyBorder="1" applyAlignment="1">
      <alignment horizontal="center"/>
    </xf>
    <xf numFmtId="2" fontId="7" fillId="0" borderId="51" xfId="44" applyNumberFormat="1" applyFont="1" applyFill="1" applyBorder="1" applyAlignment="1">
      <alignment horizontal="center"/>
    </xf>
    <xf numFmtId="2" fontId="7" fillId="0" borderId="54" xfId="44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justify"/>
    </xf>
    <xf numFmtId="2" fontId="7" fillId="0" borderId="13" xfId="38" applyNumberFormat="1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 horizontal="center"/>
    </xf>
    <xf numFmtId="0" fontId="7" fillId="0" borderId="10" xfId="49" applyFont="1" applyFill="1" applyBorder="1" applyAlignment="1">
      <alignment horizontal="center" vertical="top"/>
    </xf>
    <xf numFmtId="0" fontId="7" fillId="0" borderId="10" xfId="49" applyFont="1" applyFill="1" applyBorder="1" applyAlignment="1">
      <alignment vertical="justify"/>
    </xf>
    <xf numFmtId="2" fontId="7" fillId="0" borderId="13" xfId="45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 vertical="top"/>
    </xf>
    <xf numFmtId="49" fontId="7" fillId="0" borderId="51" xfId="0" applyNumberFormat="1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vertical="justify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49" applyFont="1" applyFill="1" applyBorder="1" applyAlignment="1">
      <alignment horizontal="center" vertical="top"/>
    </xf>
    <xf numFmtId="0" fontId="7" fillId="0" borderId="10" xfId="42" applyFont="1" applyFill="1" applyBorder="1" applyAlignment="1">
      <alignment vertical="justify"/>
    </xf>
    <xf numFmtId="4" fontId="7" fillId="0" borderId="14" xfId="49" applyNumberFormat="1" applyFont="1" applyFill="1" applyBorder="1" applyAlignment="1">
      <alignment horizontal="center"/>
    </xf>
    <xf numFmtId="4" fontId="7" fillId="0" borderId="10" xfId="49" applyNumberFormat="1" applyFont="1" applyFill="1" applyBorder="1" applyAlignment="1">
      <alignment horizontal="center"/>
    </xf>
    <xf numFmtId="4" fontId="7" fillId="0" borderId="11" xfId="49" applyNumberFormat="1" applyFont="1" applyFill="1" applyBorder="1" applyAlignment="1">
      <alignment horizontal="center"/>
    </xf>
    <xf numFmtId="0" fontId="7" fillId="0" borderId="10" xfId="49" applyFont="1" applyFill="1" applyBorder="1" applyAlignment="1">
      <alignment horizontal="left" vertical="center" wrapText="1" indent="2"/>
    </xf>
    <xf numFmtId="2" fontId="7" fillId="0" borderId="13" xfId="49" applyNumberFormat="1" applyFont="1" applyFill="1" applyBorder="1" applyAlignment="1">
      <alignment horizontal="center" vertical="center"/>
    </xf>
    <xf numFmtId="0" fontId="7" fillId="0" borderId="12" xfId="44" applyFont="1" applyFill="1" applyBorder="1" applyAlignment="1">
      <alignment horizontal="center"/>
    </xf>
    <xf numFmtId="0" fontId="7" fillId="0" borderId="10" xfId="38" applyFont="1" applyFill="1" applyBorder="1" applyAlignment="1"/>
    <xf numFmtId="2" fontId="7" fillId="0" borderId="12" xfId="39" applyNumberFormat="1" applyFont="1" applyFill="1" applyBorder="1" applyAlignment="1">
      <alignment horizontal="center"/>
    </xf>
    <xf numFmtId="0" fontId="7" fillId="0" borderId="10" xfId="44" applyFont="1" applyFill="1" applyBorder="1"/>
    <xf numFmtId="0" fontId="7" fillId="0" borderId="10" xfId="38" applyFont="1" applyFill="1" applyBorder="1"/>
    <xf numFmtId="49" fontId="7" fillId="0" borderId="10" xfId="49" applyNumberFormat="1" applyFont="1" applyFill="1" applyBorder="1" applyAlignment="1">
      <alignment horizontal="left" vertical="justify" indent="2"/>
    </xf>
    <xf numFmtId="49" fontId="7" fillId="0" borderId="10" xfId="49" applyNumberFormat="1" applyFont="1" applyFill="1" applyBorder="1" applyAlignment="1">
      <alignment horizontal="center"/>
    </xf>
    <xf numFmtId="49" fontId="7" fillId="0" borderId="10" xfId="49" applyNumberFormat="1" applyFont="1" applyFill="1" applyBorder="1" applyAlignment="1">
      <alignment horizontal="left" indent="2"/>
    </xf>
    <xf numFmtId="49" fontId="7" fillId="0" borderId="10" xfId="0" applyNumberFormat="1" applyFont="1" applyFill="1" applyBorder="1" applyAlignment="1">
      <alignment horizontal="center" vertical="justify"/>
    </xf>
    <xf numFmtId="0" fontId="7" fillId="0" borderId="10" xfId="0" applyFont="1" applyFill="1" applyBorder="1"/>
    <xf numFmtId="0" fontId="49" fillId="0" borderId="10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48" fillId="0" borderId="10" xfId="44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44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indent="2"/>
    </xf>
    <xf numFmtId="0" fontId="48" fillId="0" borderId="10" xfId="0" applyFont="1" applyFill="1" applyBorder="1" applyAlignment="1">
      <alignment horizontal="center" vertical="center"/>
    </xf>
    <xf numFmtId="2" fontId="48" fillId="0" borderId="13" xfId="0" applyNumberFormat="1" applyFont="1" applyFill="1" applyBorder="1" applyAlignment="1">
      <alignment horizontal="center" vertical="center"/>
    </xf>
    <xf numFmtId="0" fontId="7" fillId="0" borderId="10" xfId="49" applyFont="1" applyFill="1" applyBorder="1" applyAlignment="1"/>
    <xf numFmtId="0" fontId="7" fillId="0" borderId="10" xfId="44" applyFont="1" applyFill="1" applyBorder="1" applyAlignment="1">
      <alignment horizontal="center" vertical="top"/>
    </xf>
    <xf numFmtId="0" fontId="7" fillId="0" borderId="10" xfId="38" applyFont="1" applyFill="1" applyBorder="1" applyAlignment="1">
      <alignment wrapText="1"/>
    </xf>
    <xf numFmtId="0" fontId="49" fillId="0" borderId="12" xfId="49" applyFont="1" applyFill="1" applyBorder="1" applyAlignment="1">
      <alignment horizontal="center" vertical="top"/>
    </xf>
    <xf numFmtId="2" fontId="49" fillId="0" borderId="10" xfId="49" applyNumberFormat="1" applyFont="1" applyFill="1" applyBorder="1" applyAlignment="1">
      <alignment wrapText="1"/>
    </xf>
    <xf numFmtId="0" fontId="49" fillId="0" borderId="12" xfId="49" applyFont="1" applyFill="1" applyBorder="1" applyAlignment="1">
      <alignment horizontal="center"/>
    </xf>
    <xf numFmtId="2" fontId="49" fillId="0" borderId="10" xfId="49" applyNumberFormat="1" applyFont="1" applyFill="1" applyBorder="1" applyAlignment="1">
      <alignment horizontal="left" vertical="justify" indent="2"/>
    </xf>
    <xf numFmtId="0" fontId="49" fillId="0" borderId="10" xfId="49" applyFont="1" applyFill="1" applyBorder="1" applyAlignment="1">
      <alignment horizontal="center" vertical="top"/>
    </xf>
    <xf numFmtId="0" fontId="49" fillId="0" borderId="10" xfId="49" applyFont="1" applyFill="1" applyBorder="1" applyAlignment="1">
      <alignment horizontal="left" indent="2"/>
    </xf>
    <xf numFmtId="2" fontId="49" fillId="0" borderId="10" xfId="44" applyNumberFormat="1" applyFont="1" applyFill="1" applyBorder="1" applyAlignment="1">
      <alignment horizontal="center"/>
    </xf>
    <xf numFmtId="0" fontId="7" fillId="0" borderId="10" xfId="0" applyFont="1" applyFill="1" applyBorder="1" applyAlignment="1"/>
    <xf numFmtId="0" fontId="7" fillId="0" borderId="10" xfId="49" applyFont="1" applyFill="1" applyBorder="1"/>
    <xf numFmtId="1" fontId="7" fillId="0" borderId="10" xfId="49" applyNumberFormat="1" applyFont="1" applyFill="1" applyBorder="1" applyAlignment="1">
      <alignment horizontal="left" vertical="justify" indent="2"/>
    </xf>
    <xf numFmtId="0" fontId="7" fillId="0" borderId="14" xfId="49" applyFont="1" applyFill="1" applyBorder="1"/>
    <xf numFmtId="0" fontId="7" fillId="0" borderId="11" xfId="49" applyFont="1" applyFill="1" applyBorder="1"/>
    <xf numFmtId="0" fontId="7" fillId="0" borderId="10" xfId="40" applyFont="1" applyFill="1" applyBorder="1" applyAlignment="1">
      <alignment horizontal="justify"/>
    </xf>
    <xf numFmtId="0" fontId="7" fillId="0" borderId="10" xfId="40" applyFont="1" applyFill="1" applyBorder="1" applyAlignment="1">
      <alignment horizontal="center"/>
    </xf>
    <xf numFmtId="0" fontId="7" fillId="0" borderId="10" xfId="40" applyFont="1" applyFill="1" applyBorder="1" applyAlignment="1">
      <alignment horizontal="left" vertical="justify" indent="2"/>
    </xf>
    <xf numFmtId="2" fontId="7" fillId="0" borderId="13" xfId="40" applyNumberFormat="1" applyFont="1" applyFill="1" applyBorder="1" applyAlignment="1">
      <alignment horizontal="center"/>
    </xf>
    <xf numFmtId="2" fontId="7" fillId="0" borderId="10" xfId="40" applyNumberFormat="1" applyFont="1" applyFill="1" applyBorder="1" applyAlignment="1">
      <alignment horizontal="center"/>
    </xf>
    <xf numFmtId="0" fontId="7" fillId="0" borderId="12" xfId="38" applyFont="1" applyFill="1" applyBorder="1" applyAlignment="1">
      <alignment horizontal="center" vertical="top"/>
    </xf>
    <xf numFmtId="49" fontId="7" fillId="0" borderId="10" xfId="44" applyNumberFormat="1" applyFont="1" applyFill="1" applyBorder="1" applyAlignment="1">
      <alignment horizontal="center"/>
    </xf>
    <xf numFmtId="2" fontId="7" fillId="0" borderId="12" xfId="38" applyNumberFormat="1" applyFont="1" applyFill="1" applyBorder="1" applyAlignment="1">
      <alignment horizontal="center"/>
    </xf>
    <xf numFmtId="2" fontId="7" fillId="0" borderId="10" xfId="38" applyNumberFormat="1" applyFont="1" applyFill="1" applyBorder="1" applyAlignment="1">
      <alignment horizontal="center"/>
    </xf>
    <xf numFmtId="2" fontId="7" fillId="0" borderId="11" xfId="38" applyNumberFormat="1" applyFont="1" applyFill="1" applyBorder="1" applyAlignment="1">
      <alignment horizontal="center"/>
    </xf>
    <xf numFmtId="2" fontId="7" fillId="0" borderId="14" xfId="38" applyNumberFormat="1" applyFont="1" applyFill="1" applyBorder="1" applyAlignment="1">
      <alignment horizontal="center"/>
    </xf>
    <xf numFmtId="49" fontId="18" fillId="0" borderId="10" xfId="44" applyNumberFormat="1" applyFont="1" applyFill="1" applyBorder="1" applyAlignment="1">
      <alignment horizontal="left"/>
    </xf>
    <xf numFmtId="0" fontId="7" fillId="0" borderId="10" xfId="40" applyFont="1" applyFill="1" applyBorder="1" applyAlignment="1">
      <alignment horizontal="left" indent="2"/>
    </xf>
    <xf numFmtId="0" fontId="7" fillId="0" borderId="10" xfId="40" applyFont="1" applyFill="1" applyBorder="1" applyAlignment="1">
      <alignment horizontal="center" vertical="center" wrapText="1"/>
    </xf>
    <xf numFmtId="49" fontId="7" fillId="0" borderId="10" xfId="44" applyNumberFormat="1" applyFont="1" applyFill="1" applyBorder="1" applyAlignment="1">
      <alignment horizontal="center" vertical="justify"/>
    </xf>
    <xf numFmtId="0" fontId="7" fillId="0" borderId="10" xfId="40" applyFont="1" applyFill="1" applyBorder="1" applyAlignment="1">
      <alignment vertical="justify"/>
    </xf>
    <xf numFmtId="49" fontId="7" fillId="0" borderId="10" xfId="44" applyNumberFormat="1" applyFont="1" applyFill="1" applyBorder="1" applyAlignment="1">
      <alignment horizontal="left"/>
    </xf>
    <xf numFmtId="0" fontId="7" fillId="0" borderId="10" xfId="49" applyFont="1" applyFill="1" applyBorder="1" applyAlignment="1">
      <alignment horizontal="justify"/>
    </xf>
    <xf numFmtId="0" fontId="7" fillId="0" borderId="12" xfId="49" applyFont="1" applyFill="1" applyBorder="1"/>
    <xf numFmtId="0" fontId="7" fillId="0" borderId="10" xfId="0" applyNumberFormat="1" applyFont="1" applyFill="1" applyBorder="1" applyAlignment="1">
      <alignment horizontal="left" indent="2"/>
    </xf>
    <xf numFmtId="2" fontId="53" fillId="0" borderId="10" xfId="44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justify"/>
    </xf>
    <xf numFmtId="2" fontId="49" fillId="0" borderId="12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/>
    </xf>
    <xf numFmtId="2" fontId="49" fillId="0" borderId="14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justify" indent="2"/>
    </xf>
    <xf numFmtId="2" fontId="49" fillId="0" borderId="13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indent="2"/>
    </xf>
    <xf numFmtId="0" fontId="53" fillId="0" borderId="10" xfId="0" applyFont="1" applyFill="1" applyBorder="1" applyAlignment="1">
      <alignment horizontal="left" indent="2"/>
    </xf>
    <xf numFmtId="0" fontId="53" fillId="0" borderId="10" xfId="0" applyFont="1" applyFill="1" applyBorder="1" applyAlignment="1">
      <alignment horizontal="center" vertical="center"/>
    </xf>
    <xf numFmtId="2" fontId="53" fillId="0" borderId="13" xfId="0" applyNumberFormat="1" applyFont="1" applyFill="1" applyBorder="1" applyAlignment="1">
      <alignment horizontal="center" vertical="center"/>
    </xf>
    <xf numFmtId="0" fontId="7" fillId="0" borderId="10" xfId="49" applyFont="1" applyFill="1" applyBorder="1" applyAlignment="1">
      <alignment horizontal="center" vertical="justify"/>
    </xf>
    <xf numFmtId="0" fontId="48" fillId="0" borderId="10" xfId="49" applyFont="1" applyFill="1" applyBorder="1" applyAlignment="1">
      <alignment horizontal="left" vertical="justify" indent="2"/>
    </xf>
    <xf numFmtId="2" fontId="48" fillId="0" borderId="13" xfId="49" applyNumberFormat="1" applyFont="1" applyFill="1" applyBorder="1" applyAlignment="1">
      <alignment horizontal="center"/>
    </xf>
    <xf numFmtId="0" fontId="7" fillId="0" borderId="10" xfId="49" applyFont="1" applyFill="1" applyBorder="1" applyAlignment="1">
      <alignment horizontal="left" vertical="top" indent="2"/>
    </xf>
    <xf numFmtId="0" fontId="48" fillId="0" borderId="10" xfId="0" applyFont="1" applyFill="1" applyBorder="1" applyAlignment="1">
      <alignment horizontal="justify"/>
    </xf>
    <xf numFmtId="2" fontId="48" fillId="0" borderId="13" xfId="0" applyNumberFormat="1" applyFont="1" applyFill="1" applyBorder="1" applyAlignment="1">
      <alignment horizontal="center"/>
    </xf>
    <xf numFmtId="2" fontId="7" fillId="0" borderId="10" xfId="42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justify" indent="2"/>
    </xf>
    <xf numFmtId="0" fontId="51" fillId="0" borderId="10" xfId="0" applyFont="1" applyFill="1" applyBorder="1" applyAlignment="1">
      <alignment vertical="justify"/>
    </xf>
    <xf numFmtId="0" fontId="7" fillId="0" borderId="10" xfId="49" applyFont="1" applyFill="1" applyBorder="1" applyAlignment="1">
      <alignment vertical="top" wrapText="1"/>
    </xf>
    <xf numFmtId="0" fontId="7" fillId="0" borderId="10" xfId="49" applyFont="1" applyFill="1" applyBorder="1" applyAlignment="1">
      <alignment wrapText="1"/>
    </xf>
    <xf numFmtId="0" fontId="7" fillId="0" borderId="52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vertical="justify"/>
    </xf>
    <xf numFmtId="2" fontId="7" fillId="0" borderId="51" xfId="42" applyNumberFormat="1" applyFont="1" applyFill="1" applyBorder="1" applyAlignment="1">
      <alignment horizontal="center"/>
    </xf>
    <xf numFmtId="49" fontId="7" fillId="0" borderId="12" xfId="42" applyNumberFormat="1" applyFont="1" applyFill="1" applyBorder="1" applyAlignment="1">
      <alignment horizontal="center" vertical="top"/>
    </xf>
    <xf numFmtId="49" fontId="7" fillId="0" borderId="10" xfId="42" applyNumberFormat="1" applyFont="1" applyFill="1" applyBorder="1" applyAlignment="1">
      <alignment horizontal="center" vertical="top"/>
    </xf>
    <xf numFmtId="0" fontId="7" fillId="0" borderId="10" xfId="42" applyFont="1" applyFill="1" applyBorder="1" applyAlignment="1">
      <alignment horizontal="center"/>
    </xf>
    <xf numFmtId="2" fontId="7" fillId="0" borderId="12" xfId="42" applyNumberFormat="1" applyFont="1" applyFill="1" applyBorder="1" applyAlignment="1">
      <alignment horizontal="center"/>
    </xf>
    <xf numFmtId="2" fontId="7" fillId="0" borderId="11" xfId="42" applyNumberFormat="1" applyFont="1" applyFill="1" applyBorder="1" applyAlignment="1">
      <alignment horizontal="center"/>
    </xf>
    <xf numFmtId="2" fontId="7" fillId="0" borderId="14" xfId="42" applyNumberFormat="1" applyFont="1" applyFill="1" applyBorder="1" applyAlignment="1">
      <alignment horizontal="center"/>
    </xf>
    <xf numFmtId="0" fontId="7" fillId="0" borderId="10" xfId="49" applyNumberFormat="1" applyFont="1" applyFill="1" applyBorder="1" applyAlignment="1">
      <alignment vertical="justify"/>
    </xf>
    <xf numFmtId="2" fontId="48" fillId="0" borderId="10" xfId="44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justify"/>
    </xf>
    <xf numFmtId="0" fontId="7" fillId="0" borderId="10" xfId="0" applyFont="1" applyFill="1" applyBorder="1" applyAlignment="1">
      <alignment horizontal="justify" vertical="justify"/>
    </xf>
    <xf numFmtId="0" fontId="7" fillId="0" borderId="10" xfId="0" applyNumberFormat="1" applyFont="1" applyFill="1" applyBorder="1" applyAlignment="1">
      <alignment horizontal="left" vertical="justify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vertical="justify"/>
    </xf>
    <xf numFmtId="4" fontId="45" fillId="0" borderId="12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52" xfId="44" applyFont="1" applyFill="1" applyBorder="1" applyAlignment="1">
      <alignment horizontal="center" vertical="top"/>
    </xf>
    <xf numFmtId="0" fontId="7" fillId="0" borderId="51" xfId="44" applyFont="1" applyFill="1" applyBorder="1" applyAlignment="1">
      <alignment horizontal="center" vertical="top"/>
    </xf>
    <xf numFmtId="0" fontId="7" fillId="0" borderId="51" xfId="0" applyNumberFormat="1" applyFont="1" applyFill="1" applyBorder="1" applyAlignment="1">
      <alignment vertical="justify"/>
    </xf>
    <xf numFmtId="2" fontId="7" fillId="0" borderId="52" xfId="39" applyNumberFormat="1" applyFont="1" applyFill="1" applyBorder="1" applyAlignment="1">
      <alignment horizontal="center"/>
    </xf>
    <xf numFmtId="0" fontId="8" fillId="0" borderId="32" xfId="43" applyFont="1" applyFill="1" applyBorder="1" applyAlignment="1">
      <alignment horizontal="center" vertical="center" textRotation="90" wrapText="1"/>
    </xf>
    <xf numFmtId="4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52" xfId="0" applyNumberFormat="1" applyFont="1" applyBorder="1" applyAlignment="1">
      <alignment horizontal="center" wrapText="1"/>
    </xf>
    <xf numFmtId="2" fontId="7" fillId="0" borderId="26" xfId="0" applyNumberFormat="1" applyFont="1" applyBorder="1" applyAlignment="1">
      <alignment horizontal="center" wrapText="1"/>
    </xf>
    <xf numFmtId="4" fontId="7" fillId="0" borderId="27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52" xfId="44" applyNumberFormat="1" applyFont="1" applyFill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26" xfId="44" applyFont="1" applyFill="1" applyBorder="1" applyAlignment="1">
      <alignment horizontal="center" vertical="top"/>
    </xf>
    <xf numFmtId="0" fontId="7" fillId="0" borderId="27" xfId="44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vertical="justify"/>
    </xf>
    <xf numFmtId="0" fontId="7" fillId="0" borderId="27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5" fillId="24" borderId="0" xfId="43" applyFont="1" applyFill="1" applyBorder="1" applyAlignment="1">
      <alignment horizontal="center" vertical="center"/>
    </xf>
    <xf numFmtId="0" fontId="8" fillId="24" borderId="32" xfId="43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25" borderId="10" xfId="0" applyFont="1" applyFill="1" applyBorder="1" applyAlignment="1">
      <alignment horizontal="left" vertical="center" wrapText="1"/>
    </xf>
    <xf numFmtId="2" fontId="7" fillId="25" borderId="13" xfId="0" applyNumberFormat="1" applyFont="1" applyFill="1" applyBorder="1" applyAlignment="1">
      <alignment horizontal="center"/>
    </xf>
    <xf numFmtId="0" fontId="7" fillId="24" borderId="16" xfId="48" applyFont="1" applyFill="1" applyBorder="1" applyAlignment="1">
      <alignment horizontal="left" vertical="center" wrapText="1"/>
    </xf>
    <xf numFmtId="0" fontId="7" fillId="24" borderId="10" xfId="48" applyFont="1" applyFill="1" applyBorder="1" applyAlignment="1">
      <alignment horizontal="left" vertical="center" wrapText="1"/>
    </xf>
    <xf numFmtId="0" fontId="7" fillId="24" borderId="33" xfId="48" applyFont="1" applyFill="1" applyBorder="1" applyAlignment="1">
      <alignment horizontal="left" vertical="center" wrapText="1"/>
    </xf>
    <xf numFmtId="0" fontId="7" fillId="24" borderId="19" xfId="48" applyFont="1" applyFill="1" applyBorder="1" applyAlignment="1">
      <alignment horizontal="left" vertical="center" wrapText="1"/>
    </xf>
    <xf numFmtId="0" fontId="35" fillId="0" borderId="0" xfId="0" applyFont="1"/>
    <xf numFmtId="0" fontId="17" fillId="0" borderId="44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justify"/>
    </xf>
    <xf numFmtId="0" fontId="17" fillId="0" borderId="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8" fillId="0" borderId="15" xfId="41" applyNumberFormat="1" applyFont="1" applyFill="1" applyBorder="1" applyAlignment="1">
      <alignment horizontal="center" vertical="center" wrapText="1"/>
    </xf>
    <xf numFmtId="0" fontId="8" fillId="0" borderId="11" xfId="41" applyNumberFormat="1" applyFont="1" applyFill="1" applyBorder="1" applyAlignment="1">
      <alignment horizontal="center" vertical="center" wrapText="1"/>
    </xf>
    <xf numFmtId="0" fontId="8" fillId="0" borderId="34" xfId="4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justify"/>
    </xf>
    <xf numFmtId="0" fontId="8" fillId="0" borderId="0" xfId="0" applyFont="1" applyFill="1" applyAlignment="1">
      <alignment horizontal="right"/>
    </xf>
    <xf numFmtId="0" fontId="8" fillId="0" borderId="16" xfId="41" applyNumberFormat="1" applyFont="1" applyFill="1" applyBorder="1" applyAlignment="1">
      <alignment horizontal="center" vertical="center" wrapText="1"/>
    </xf>
    <xf numFmtId="0" fontId="8" fillId="0" borderId="10" xfId="41" applyNumberFormat="1" applyFont="1" applyFill="1" applyBorder="1" applyAlignment="1">
      <alignment horizontal="center" vertical="center" wrapText="1"/>
    </xf>
    <xf numFmtId="0" fontId="8" fillId="0" borderId="33" xfId="41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24" borderId="30" xfId="43" applyFont="1" applyFill="1" applyBorder="1" applyAlignment="1">
      <alignment horizontal="right"/>
    </xf>
    <xf numFmtId="0" fontId="7" fillId="24" borderId="31" xfId="43" applyFont="1" applyFill="1" applyBorder="1" applyAlignment="1">
      <alignment horizontal="right"/>
    </xf>
    <xf numFmtId="0" fontId="7" fillId="24" borderId="25" xfId="43" applyFont="1" applyFill="1" applyBorder="1" applyAlignment="1">
      <alignment horizontal="right"/>
    </xf>
    <xf numFmtId="0" fontId="7" fillId="24" borderId="26" xfId="43" applyFont="1" applyFill="1" applyBorder="1" applyAlignment="1">
      <alignment horizontal="right"/>
    </xf>
    <xf numFmtId="0" fontId="7" fillId="24" borderId="27" xfId="43" applyFont="1" applyFill="1" applyBorder="1" applyAlignment="1">
      <alignment horizontal="right"/>
    </xf>
    <xf numFmtId="0" fontId="7" fillId="24" borderId="17" xfId="43" applyFont="1" applyFill="1" applyBorder="1" applyAlignment="1">
      <alignment horizontal="right"/>
    </xf>
    <xf numFmtId="0" fontId="7" fillId="24" borderId="28" xfId="43" applyFont="1" applyFill="1" applyBorder="1" applyAlignment="1">
      <alignment horizontal="right"/>
    </xf>
    <xf numFmtId="0" fontId="7" fillId="24" borderId="29" xfId="43" applyFont="1" applyFill="1" applyBorder="1" applyAlignment="1">
      <alignment horizontal="right"/>
    </xf>
    <xf numFmtId="0" fontId="7" fillId="24" borderId="18" xfId="43" applyFont="1" applyFill="1" applyBorder="1" applyAlignment="1">
      <alignment horizontal="right"/>
    </xf>
    <xf numFmtId="0" fontId="8" fillId="24" borderId="24" xfId="43" applyFont="1" applyFill="1" applyBorder="1" applyAlignment="1">
      <alignment horizontal="center" vertical="center" textRotation="90" wrapText="1"/>
    </xf>
    <xf numFmtId="0" fontId="8" fillId="24" borderId="32" xfId="43" applyFont="1" applyFill="1" applyBorder="1" applyAlignment="1">
      <alignment horizontal="center" vertical="center" textRotation="90" wrapText="1"/>
    </xf>
    <xf numFmtId="49" fontId="8" fillId="24" borderId="16" xfId="43" applyNumberFormat="1" applyFont="1" applyFill="1" applyBorder="1" applyAlignment="1">
      <alignment horizontal="center" vertical="center" textRotation="90" wrapText="1"/>
    </xf>
    <xf numFmtId="49" fontId="8" fillId="24" borderId="33" xfId="43" applyNumberFormat="1" applyFont="1" applyFill="1" applyBorder="1" applyAlignment="1">
      <alignment horizontal="center" vertical="center" textRotation="90" wrapText="1"/>
    </xf>
    <xf numFmtId="0" fontId="8" fillId="24" borderId="41" xfId="43" applyFont="1" applyFill="1" applyBorder="1" applyAlignment="1">
      <alignment horizontal="center" vertical="center" textRotation="90"/>
    </xf>
    <xf numFmtId="0" fontId="9" fillId="24" borderId="40" xfId="43" applyFont="1" applyFill="1" applyBorder="1" applyAlignment="1">
      <alignment textRotation="90"/>
    </xf>
    <xf numFmtId="0" fontId="8" fillId="24" borderId="24" xfId="43" applyFont="1" applyFill="1" applyBorder="1" applyAlignment="1">
      <alignment horizontal="center" vertical="center"/>
    </xf>
    <xf numFmtId="0" fontId="8" fillId="24" borderId="16" xfId="43" applyFont="1" applyFill="1" applyBorder="1" applyAlignment="1">
      <alignment horizontal="center" vertical="center"/>
    </xf>
    <xf numFmtId="0" fontId="8" fillId="24" borderId="15" xfId="43" applyFont="1" applyFill="1" applyBorder="1" applyAlignment="1">
      <alignment horizontal="center" vertical="center"/>
    </xf>
    <xf numFmtId="0" fontId="8" fillId="24" borderId="42" xfId="43" applyFont="1" applyFill="1" applyBorder="1" applyAlignment="1">
      <alignment horizontal="center" vertical="center"/>
    </xf>
    <xf numFmtId="4" fontId="5" fillId="24" borderId="0" xfId="43" applyNumberFormat="1" applyFont="1" applyFill="1" applyBorder="1" applyAlignment="1">
      <alignment horizontal="left" vertical="center"/>
    </xf>
    <xf numFmtId="0" fontId="8" fillId="24" borderId="16" xfId="43" applyFont="1" applyFill="1" applyBorder="1" applyAlignment="1">
      <alignment horizontal="center" vertical="center" wrapText="1"/>
    </xf>
    <xf numFmtId="0" fontId="8" fillId="24" borderId="33" xfId="43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justify"/>
    </xf>
    <xf numFmtId="0" fontId="2" fillId="0" borderId="44" xfId="0" applyFont="1" applyFill="1" applyBorder="1" applyAlignment="1">
      <alignment horizontal="center" vertical="justify"/>
    </xf>
    <xf numFmtId="0" fontId="5" fillId="24" borderId="0" xfId="43" applyFont="1" applyFill="1" applyBorder="1" applyAlignment="1">
      <alignment horizontal="center" vertical="center"/>
    </xf>
    <xf numFmtId="0" fontId="4" fillId="24" borderId="0" xfId="43" applyFont="1" applyFill="1" applyBorder="1" applyAlignment="1">
      <alignment horizontal="right" vertical="center"/>
    </xf>
    <xf numFmtId="0" fontId="8" fillId="24" borderId="16" xfId="43" applyFont="1" applyFill="1" applyBorder="1" applyAlignment="1">
      <alignment horizontal="center" vertical="center" textRotation="90"/>
    </xf>
    <xf numFmtId="0" fontId="8" fillId="24" borderId="33" xfId="43" applyFont="1" applyFill="1" applyBorder="1" applyAlignment="1">
      <alignment horizontal="center" vertical="center" textRotation="90"/>
    </xf>
    <xf numFmtId="0" fontId="5" fillId="0" borderId="0" xfId="43" applyFont="1" applyFill="1" applyBorder="1" applyAlignment="1">
      <alignment horizontal="center" vertical="center"/>
    </xf>
    <xf numFmtId="0" fontId="8" fillId="0" borderId="16" xfId="43" applyFont="1" applyFill="1" applyBorder="1" applyAlignment="1">
      <alignment horizontal="center" vertical="center" wrapText="1"/>
    </xf>
    <xf numFmtId="0" fontId="8" fillId="0" borderId="19" xfId="43" applyFont="1" applyFill="1" applyBorder="1" applyAlignment="1">
      <alignment horizontal="center" vertical="center" wrapText="1"/>
    </xf>
    <xf numFmtId="0" fontId="8" fillId="0" borderId="16" xfId="43" applyFont="1" applyFill="1" applyBorder="1" applyAlignment="1">
      <alignment horizontal="center" vertical="center" textRotation="90"/>
    </xf>
    <xf numFmtId="0" fontId="8" fillId="0" borderId="19" xfId="43" applyFont="1" applyFill="1" applyBorder="1" applyAlignment="1">
      <alignment horizontal="center" vertical="center" textRotation="90"/>
    </xf>
    <xf numFmtId="0" fontId="4" fillId="0" borderId="0" xfId="43" applyFont="1" applyFill="1" applyBorder="1" applyAlignment="1">
      <alignment horizontal="right" vertical="center"/>
    </xf>
    <xf numFmtId="0" fontId="8" fillId="0" borderId="41" xfId="43" applyFont="1" applyFill="1" applyBorder="1" applyAlignment="1">
      <alignment horizontal="center" vertical="center" textRotation="90"/>
    </xf>
    <xf numFmtId="0" fontId="9" fillId="0" borderId="23" xfId="43" applyFont="1" applyFill="1" applyBorder="1" applyAlignment="1">
      <alignment textRotation="90"/>
    </xf>
    <xf numFmtId="0" fontId="8" fillId="0" borderId="24" xfId="43" applyFont="1" applyFill="1" applyBorder="1" applyAlignment="1">
      <alignment horizontal="center" vertical="center"/>
    </xf>
    <xf numFmtId="0" fontId="8" fillId="0" borderId="16" xfId="43" applyFont="1" applyFill="1" applyBorder="1" applyAlignment="1">
      <alignment horizontal="center" vertical="center"/>
    </xf>
    <xf numFmtId="0" fontId="8" fillId="0" borderId="15" xfId="43" applyFont="1" applyFill="1" applyBorder="1" applyAlignment="1">
      <alignment horizontal="center" vertical="center"/>
    </xf>
    <xf numFmtId="0" fontId="8" fillId="0" borderId="42" xfId="43" applyFont="1" applyFill="1" applyBorder="1" applyAlignment="1">
      <alignment horizontal="center" vertical="center"/>
    </xf>
    <xf numFmtId="4" fontId="5" fillId="0" borderId="0" xfId="43" applyNumberFormat="1" applyFont="1" applyFill="1" applyBorder="1" applyAlignment="1">
      <alignment horizontal="left" vertical="center"/>
    </xf>
    <xf numFmtId="0" fontId="7" fillId="0" borderId="30" xfId="43" applyFont="1" applyFill="1" applyBorder="1" applyAlignment="1">
      <alignment horizontal="right"/>
    </xf>
    <xf numFmtId="0" fontId="7" fillId="0" borderId="31" xfId="43" applyFont="1" applyFill="1" applyBorder="1" applyAlignment="1">
      <alignment horizontal="right"/>
    </xf>
    <xf numFmtId="0" fontId="7" fillId="0" borderId="25" xfId="43" applyFont="1" applyFill="1" applyBorder="1" applyAlignment="1">
      <alignment horizontal="right"/>
    </xf>
    <xf numFmtId="0" fontId="7" fillId="0" borderId="48" xfId="43" applyFont="1" applyFill="1" applyBorder="1" applyAlignment="1">
      <alignment horizontal="right"/>
    </xf>
    <xf numFmtId="0" fontId="7" fillId="0" borderId="39" xfId="43" applyFont="1" applyFill="1" applyBorder="1" applyAlignment="1">
      <alignment horizontal="right"/>
    </xf>
    <xf numFmtId="0" fontId="7" fillId="0" borderId="49" xfId="43" applyFont="1" applyFill="1" applyBorder="1" applyAlignment="1">
      <alignment horizontal="right"/>
    </xf>
    <xf numFmtId="0" fontId="7" fillId="0" borderId="28" xfId="43" applyFont="1" applyFill="1" applyBorder="1" applyAlignment="1">
      <alignment horizontal="right"/>
    </xf>
    <xf numFmtId="0" fontId="7" fillId="0" borderId="29" xfId="43" applyFont="1" applyFill="1" applyBorder="1" applyAlignment="1">
      <alignment horizontal="right"/>
    </xf>
    <xf numFmtId="0" fontId="7" fillId="0" borderId="18" xfId="43" applyFont="1" applyFill="1" applyBorder="1" applyAlignment="1">
      <alignment horizontal="right"/>
    </xf>
    <xf numFmtId="0" fontId="8" fillId="0" borderId="24" xfId="43" applyFont="1" applyFill="1" applyBorder="1" applyAlignment="1">
      <alignment horizontal="center" vertical="center" textRotation="90" wrapText="1"/>
    </xf>
    <xf numFmtId="0" fontId="8" fillId="0" borderId="21" xfId="43" applyFont="1" applyFill="1" applyBorder="1" applyAlignment="1">
      <alignment horizontal="center" vertical="center" textRotation="90" wrapText="1"/>
    </xf>
    <xf numFmtId="49" fontId="8" fillId="0" borderId="16" xfId="43" applyNumberFormat="1" applyFont="1" applyFill="1" applyBorder="1" applyAlignment="1">
      <alignment horizontal="center" vertical="center" textRotation="90" wrapText="1"/>
    </xf>
    <xf numFmtId="49" fontId="8" fillId="0" borderId="19" xfId="43" applyNumberFormat="1" applyFont="1" applyFill="1" applyBorder="1" applyAlignment="1">
      <alignment horizontal="center" vertical="center" textRotation="90" wrapText="1"/>
    </xf>
    <xf numFmtId="0" fontId="7" fillId="24" borderId="48" xfId="43" applyFont="1" applyFill="1" applyBorder="1" applyAlignment="1">
      <alignment horizontal="right"/>
    </xf>
    <xf numFmtId="0" fontId="7" fillId="24" borderId="39" xfId="43" applyFont="1" applyFill="1" applyBorder="1" applyAlignment="1">
      <alignment horizontal="right"/>
    </xf>
    <xf numFmtId="0" fontId="7" fillId="24" borderId="49" xfId="43" applyFont="1" applyFill="1" applyBorder="1" applyAlignment="1">
      <alignment horizontal="right"/>
    </xf>
    <xf numFmtId="0" fontId="8" fillId="0" borderId="32" xfId="43" applyFont="1" applyFill="1" applyBorder="1" applyAlignment="1">
      <alignment horizontal="center" vertical="center" textRotation="90" wrapText="1"/>
    </xf>
    <xf numFmtId="49" fontId="8" fillId="0" borderId="33" xfId="43" applyNumberFormat="1" applyFont="1" applyFill="1" applyBorder="1" applyAlignment="1">
      <alignment horizontal="center" vertical="center" textRotation="90" wrapText="1"/>
    </xf>
    <xf numFmtId="0" fontId="8" fillId="0" borderId="33" xfId="43" applyFont="1" applyFill="1" applyBorder="1" applyAlignment="1">
      <alignment horizontal="center" vertical="center" wrapText="1"/>
    </xf>
    <xf numFmtId="0" fontId="8" fillId="0" borderId="33" xfId="43" applyFont="1" applyFill="1" applyBorder="1" applyAlignment="1">
      <alignment horizontal="center" vertical="center" textRotation="90"/>
    </xf>
    <xf numFmtId="0" fontId="8" fillId="0" borderId="15" xfId="43" applyFont="1" applyFill="1" applyBorder="1" applyAlignment="1">
      <alignment horizontal="center" vertical="center" textRotation="90"/>
    </xf>
    <xf numFmtId="0" fontId="9" fillId="0" borderId="34" xfId="43" applyFont="1" applyFill="1" applyBorder="1" applyAlignment="1">
      <alignment textRotation="90"/>
    </xf>
    <xf numFmtId="0" fontId="0" fillId="0" borderId="12" xfId="0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0" fontId="55" fillId="0" borderId="10" xfId="55" applyFont="1" applyFill="1" applyBorder="1" applyAlignment="1">
      <alignment horizontal="center"/>
    </xf>
    <xf numFmtId="0" fontId="55" fillId="26" borderId="13" xfId="55" applyFont="1" applyFill="1" applyBorder="1" applyAlignment="1">
      <alignment horizontal="center"/>
    </xf>
    <xf numFmtId="0" fontId="55" fillId="0" borderId="10" xfId="55" applyFont="1" applyFill="1" applyBorder="1" applyAlignment="1">
      <alignment wrapText="1"/>
    </xf>
    <xf numFmtId="0" fontId="55" fillId="0" borderId="13" xfId="55" applyFont="1" applyFill="1" applyBorder="1" applyAlignment="1">
      <alignment horizontal="center"/>
    </xf>
    <xf numFmtId="0" fontId="55" fillId="0" borderId="10" xfId="55" applyFont="1" applyBorder="1"/>
    <xf numFmtId="0" fontId="55" fillId="0" borderId="10" xfId="55" applyFont="1" applyBorder="1" applyAlignment="1">
      <alignment horizontal="center"/>
    </xf>
    <xf numFmtId="0" fontId="57" fillId="0" borderId="10" xfId="55" applyFont="1" applyFill="1" applyBorder="1" applyAlignment="1">
      <alignment wrapText="1"/>
    </xf>
    <xf numFmtId="0" fontId="57" fillId="26" borderId="10" xfId="55" applyFont="1" applyFill="1" applyBorder="1" applyAlignment="1">
      <alignment wrapText="1"/>
    </xf>
    <xf numFmtId="0" fontId="55" fillId="26" borderId="10" xfId="55" applyFont="1" applyFill="1" applyBorder="1" applyAlignment="1">
      <alignment horizontal="center"/>
    </xf>
    <xf numFmtId="0" fontId="57" fillId="26" borderId="33" xfId="55" applyFont="1" applyFill="1" applyBorder="1" applyAlignment="1">
      <alignment wrapText="1"/>
    </xf>
    <xf numFmtId="0" fontId="55" fillId="26" borderId="33" xfId="55" applyFont="1" applyFill="1" applyBorder="1" applyAlignment="1">
      <alignment horizontal="center"/>
    </xf>
    <xf numFmtId="0" fontId="55" fillId="26" borderId="40" xfId="55" applyFont="1" applyFill="1" applyBorder="1" applyAlignment="1">
      <alignment horizontal="center"/>
    </xf>
    <xf numFmtId="0" fontId="55" fillId="0" borderId="13" xfId="55" applyFont="1" applyFill="1" applyBorder="1" applyAlignment="1">
      <alignment wrapText="1"/>
    </xf>
    <xf numFmtId="0" fontId="55" fillId="26" borderId="50" xfId="55" applyFont="1" applyFill="1" applyBorder="1" applyAlignment="1">
      <alignment horizontal="center"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0" xfId="0" applyFont="1" applyBorder="1"/>
    <xf numFmtId="0" fontId="55" fillId="0" borderId="33" xfId="0" applyFont="1" applyFill="1" applyBorder="1" applyAlignment="1">
      <alignment wrapText="1"/>
    </xf>
    <xf numFmtId="0" fontId="55" fillId="0" borderId="33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wrapText="1" indent="2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54"/>
    <cellStyle name="Normal_bruģis" xfId="37"/>
    <cellStyle name="Normal_CMD Lapmežciema TN foajē" xfId="38"/>
    <cellStyle name="Normal_Sheet2" xfId="55"/>
    <cellStyle name="Normal_tame,  PII Papardīte fasādes siltinšana" xfId="39"/>
    <cellStyle name="Normal_Tāme CMD pagastmājas pirmā stāva gaiteņa remonts" xfId="40"/>
    <cellStyle name="Normal_tāme engures saieta nams JF" xfId="41"/>
    <cellStyle name="Normal_Tāme fasāde PII Ķipars (Māris)" xfId="42"/>
    <cellStyle name="Normal_tāme roja DABASZINĪBAS JF" xfId="43"/>
    <cellStyle name="Normal_tāme TĒRVETE (jaunā forma)" xfId="44"/>
    <cellStyle name="Normal_Upesgrīva toča" xfId="45"/>
    <cellStyle name="Note" xfId="46" builtinId="10" customBuiltin="1"/>
    <cellStyle name="Output" xfId="47" builtinId="21" customBuiltin="1"/>
    <cellStyle name="Stils 1" xfId="48"/>
    <cellStyle name="Style 1" xfId="49"/>
    <cellStyle name="Title" xfId="50" builtinId="15" customBuiltin="1"/>
    <cellStyle name="Total" xfId="51" builtinId="25" customBuiltin="1"/>
    <cellStyle name="Warning Text" xfId="52" builtinId="11" customBuiltin="1"/>
    <cellStyle name="Стиль 1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i/darbs/PRETPILS/objekti/KKP/t&#257;me%20Gaismas%203%20renov&#257;cija%20J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  <sheetName val="O1"/>
      <sheetName val="1"/>
      <sheetName val="2"/>
      <sheetName val="3"/>
      <sheetName val="4"/>
      <sheetName val="5"/>
      <sheetName val="6"/>
      <sheetName val="kopā"/>
      <sheetName val="graf"/>
      <sheetName val="siltināšana"/>
      <sheetName val="logi durvis"/>
      <sheetName val="dek.apm. salīdz."/>
      <sheetName val="būvlauk apr. salīdz."/>
    </sheetNames>
    <sheetDataSet>
      <sheetData sheetId="0"/>
      <sheetData sheetId="1">
        <row r="21">
          <cell r="B21" t="str">
            <v>Būvlaukuma sagatavošanas darbi</v>
          </cell>
        </row>
      </sheetData>
      <sheetData sheetId="2">
        <row r="43">
          <cell r="L43">
            <v>99.5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4"/>
  <sheetViews>
    <sheetView workbookViewId="0">
      <selection sqref="A1:D1"/>
    </sheetView>
  </sheetViews>
  <sheetFormatPr defaultRowHeight="12.75"/>
  <cols>
    <col min="1" max="1" width="8.140625" style="39" customWidth="1"/>
    <col min="2" max="2" width="53.28515625" style="44" customWidth="1"/>
    <col min="3" max="3" width="12.28515625" style="44" customWidth="1"/>
    <col min="4" max="4" width="16.140625" style="45" customWidth="1"/>
    <col min="5" max="5" width="10.140625" style="31" bestFit="1" customWidth="1"/>
    <col min="6" max="6" width="9.5703125" style="31" bestFit="1" customWidth="1"/>
    <col min="7" max="16384" width="9.140625" style="31"/>
  </cols>
  <sheetData>
    <row r="1" spans="1:8" s="18" customFormat="1" ht="15">
      <c r="A1" s="516"/>
      <c r="B1" s="516"/>
      <c r="C1" s="516"/>
      <c r="D1" s="516"/>
      <c r="E1" s="47"/>
      <c r="F1" s="47"/>
      <c r="G1" s="47"/>
      <c r="H1" s="47"/>
    </row>
    <row r="2" spans="1:8" s="18" customFormat="1" ht="25.5" customHeight="1">
      <c r="A2" s="517"/>
      <c r="B2" s="517"/>
      <c r="C2" s="517"/>
      <c r="D2" s="517"/>
      <c r="E2" s="20"/>
      <c r="F2" s="20"/>
      <c r="G2" s="20"/>
      <c r="H2" s="20"/>
    </row>
    <row r="3" spans="1:8" s="18" customFormat="1" ht="25.5" customHeight="1">
      <c r="A3" s="19"/>
      <c r="B3" s="19"/>
      <c r="C3" s="19"/>
      <c r="D3" s="19"/>
      <c r="E3" s="20"/>
      <c r="F3" s="20"/>
      <c r="G3" s="20"/>
      <c r="H3" s="20"/>
    </row>
    <row r="4" spans="1:8" s="18" customFormat="1" ht="18" customHeight="1">
      <c r="A4" s="21"/>
      <c r="B4" s="22"/>
      <c r="C4" s="22"/>
      <c r="D4" s="17"/>
    </row>
    <row r="5" spans="1:8" s="18" customFormat="1" ht="15">
      <c r="A5" s="518" t="s">
        <v>34</v>
      </c>
      <c r="B5" s="518"/>
      <c r="C5" s="518"/>
      <c r="D5" s="518"/>
    </row>
    <row r="6" spans="1:8" s="18" customFormat="1" ht="18" customHeight="1">
      <c r="A6" s="48"/>
      <c r="B6" s="48"/>
      <c r="C6" s="48"/>
      <c r="D6" s="48"/>
    </row>
    <row r="7" spans="1:8" s="18" customFormat="1" ht="18">
      <c r="A7" s="23"/>
      <c r="B7" s="24"/>
      <c r="C7" s="24"/>
      <c r="D7" s="25"/>
    </row>
    <row r="8" spans="1:8" s="50" customFormat="1" ht="15">
      <c r="A8" s="49" t="s">
        <v>142</v>
      </c>
      <c r="B8" s="49"/>
      <c r="C8" s="49"/>
      <c r="D8" s="49"/>
    </row>
    <row r="9" spans="1:8" s="18" customFormat="1" ht="15">
      <c r="A9" s="51" t="s">
        <v>318</v>
      </c>
      <c r="B9" s="4"/>
      <c r="C9" s="4"/>
      <c r="D9" s="3"/>
    </row>
    <row r="10" spans="1:8" s="18" customFormat="1" ht="18" customHeight="1" thickBot="1">
      <c r="A10" s="52"/>
      <c r="B10" s="2"/>
      <c r="C10" s="2"/>
      <c r="D10" s="3"/>
    </row>
    <row r="11" spans="1:8" ht="12.75" customHeight="1">
      <c r="A11" s="519" t="s">
        <v>51</v>
      </c>
      <c r="B11" s="521" t="s">
        <v>52</v>
      </c>
      <c r="C11" s="521" t="s">
        <v>35</v>
      </c>
      <c r="D11" s="523" t="s">
        <v>46</v>
      </c>
    </row>
    <row r="12" spans="1:8" s="32" customFormat="1" ht="12.75" customHeight="1">
      <c r="A12" s="520"/>
      <c r="B12" s="522"/>
      <c r="C12" s="522"/>
      <c r="D12" s="524"/>
    </row>
    <row r="13" spans="1:8" s="32" customFormat="1" ht="11.25" customHeight="1" thickBot="1">
      <c r="A13" s="520"/>
      <c r="B13" s="522"/>
      <c r="C13" s="522"/>
      <c r="D13" s="524"/>
    </row>
    <row r="14" spans="1:8" s="34" customFormat="1">
      <c r="A14" s="33" t="s">
        <v>6</v>
      </c>
      <c r="B14" s="53" t="s">
        <v>59</v>
      </c>
      <c r="C14" s="13" t="s">
        <v>36</v>
      </c>
      <c r="D14" s="10"/>
    </row>
    <row r="15" spans="1:8" s="34" customFormat="1">
      <c r="A15" s="54"/>
      <c r="B15" s="55" t="s">
        <v>32</v>
      </c>
      <c r="C15" s="56"/>
      <c r="D15" s="57"/>
      <c r="E15" s="58"/>
    </row>
    <row r="16" spans="1:8">
      <c r="A16" s="59"/>
      <c r="B16" s="55" t="s">
        <v>53</v>
      </c>
      <c r="C16" s="61"/>
      <c r="D16" s="57"/>
    </row>
    <row r="17" spans="1:6">
      <c r="A17" s="59"/>
      <c r="B17" s="62" t="s">
        <v>54</v>
      </c>
      <c r="C17" s="61" t="s">
        <v>55</v>
      </c>
      <c r="D17" s="11"/>
    </row>
    <row r="18" spans="1:6">
      <c r="A18" s="59"/>
      <c r="B18" s="60" t="s">
        <v>148</v>
      </c>
      <c r="C18" s="61" t="s">
        <v>55</v>
      </c>
      <c r="D18" s="11"/>
    </row>
    <row r="19" spans="1:6">
      <c r="A19" s="59"/>
      <c r="B19" s="60" t="s">
        <v>56</v>
      </c>
      <c r="C19" s="61" t="s">
        <v>55</v>
      </c>
      <c r="D19" s="11"/>
    </row>
    <row r="20" spans="1:6">
      <c r="A20" s="59"/>
      <c r="B20" s="60" t="s">
        <v>57</v>
      </c>
      <c r="C20" s="61" t="s">
        <v>55</v>
      </c>
      <c r="D20" s="11"/>
    </row>
    <row r="21" spans="1:6" ht="13.5" thickBot="1">
      <c r="A21" s="63"/>
      <c r="B21" s="64" t="s">
        <v>58</v>
      </c>
      <c r="C21" s="65" t="s">
        <v>55</v>
      </c>
      <c r="D21" s="16"/>
    </row>
    <row r="22" spans="1:6" ht="13.5" thickBot="1">
      <c r="A22" s="66"/>
      <c r="B22" s="67" t="s">
        <v>37</v>
      </c>
      <c r="C22" s="68"/>
      <c r="D22" s="14">
        <f>D16+D21</f>
        <v>0</v>
      </c>
      <c r="F22" s="69"/>
    </row>
    <row r="23" spans="1:6" ht="13.5" thickBot="1">
      <c r="A23" s="70"/>
      <c r="B23" s="71" t="s">
        <v>38</v>
      </c>
      <c r="C23" s="147">
        <v>0.21</v>
      </c>
      <c r="D23" s="15">
        <f>ROUND(D22*C23,2)</f>
        <v>0</v>
      </c>
      <c r="F23" s="69"/>
    </row>
    <row r="24" spans="1:6" ht="13.5" thickBot="1">
      <c r="A24" s="72"/>
      <c r="B24" s="73" t="s">
        <v>39</v>
      </c>
      <c r="C24" s="73"/>
      <c r="D24" s="35">
        <f>D23+D22</f>
        <v>0</v>
      </c>
      <c r="F24" s="69"/>
    </row>
    <row r="25" spans="1:6" ht="16.5" customHeight="1">
      <c r="A25" s="12"/>
      <c r="B25" s="40"/>
      <c r="D25" s="41"/>
    </row>
    <row r="26" spans="1:6" ht="16.5" customHeight="1">
      <c r="A26" s="12"/>
      <c r="B26" s="40"/>
      <c r="D26" s="41"/>
    </row>
    <row r="27" spans="1:6" ht="16.5" customHeight="1">
      <c r="A27" s="12"/>
      <c r="B27" s="40"/>
      <c r="D27" s="41"/>
    </row>
    <row r="28" spans="1:6" ht="16.5" customHeight="1">
      <c r="A28" s="42" t="s">
        <v>419</v>
      </c>
      <c r="B28" s="30"/>
      <c r="D28" s="41"/>
    </row>
    <row r="29" spans="1:6" ht="16.5" customHeight="1">
      <c r="A29" s="46"/>
      <c r="B29" s="43"/>
      <c r="D29" s="41"/>
    </row>
    <row r="30" spans="1:6" ht="16.5" customHeight="1">
      <c r="A30" s="12"/>
      <c r="B30" s="40"/>
      <c r="D30" s="41"/>
    </row>
    <row r="31" spans="1:6" ht="16.5" customHeight="1">
      <c r="A31" s="12"/>
      <c r="B31" s="40"/>
      <c r="D31" s="41"/>
    </row>
    <row r="32" spans="1:6" ht="16.5" customHeight="1">
      <c r="A32" s="42" t="s">
        <v>420</v>
      </c>
      <c r="B32" s="40"/>
      <c r="D32" s="41"/>
    </row>
    <row r="33" spans="1:4" ht="16.5" customHeight="1">
      <c r="A33" s="12"/>
      <c r="B33" s="43"/>
      <c r="D33" s="41"/>
    </row>
    <row r="34" spans="1:4" ht="16.5" customHeight="1">
      <c r="A34" s="12"/>
      <c r="B34" s="40"/>
      <c r="D34" s="41"/>
    </row>
  </sheetData>
  <mergeCells count="7">
    <mergeCell ref="A1:D1"/>
    <mergeCell ref="A2:D2"/>
    <mergeCell ref="A5:D5"/>
    <mergeCell ref="A11:A13"/>
    <mergeCell ref="B11:B13"/>
    <mergeCell ref="C11:C13"/>
    <mergeCell ref="D11:D13"/>
  </mergeCells>
  <phoneticPr fontId="40" type="noConversion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44"/>
  <sheetViews>
    <sheetView workbookViewId="0">
      <selection activeCell="C21" sqref="C21:G25"/>
    </sheetView>
  </sheetViews>
  <sheetFormatPr defaultRowHeight="12.75"/>
  <cols>
    <col min="1" max="1" width="8.140625" style="39" customWidth="1"/>
    <col min="2" max="2" width="30.140625" style="44" customWidth="1"/>
    <col min="3" max="3" width="13.28515625" style="45" customWidth="1"/>
    <col min="4" max="4" width="11.42578125" style="31" customWidth="1"/>
    <col min="5" max="7" width="10" style="31" customWidth="1"/>
    <col min="8" max="16384" width="9.140625" style="31"/>
  </cols>
  <sheetData>
    <row r="1" spans="1:7" ht="15">
      <c r="A1" s="525"/>
      <c r="B1" s="525"/>
      <c r="C1" s="525"/>
      <c r="D1" s="525"/>
      <c r="E1" s="525"/>
      <c r="F1" s="525"/>
      <c r="G1" s="525"/>
    </row>
    <row r="2" spans="1:7" ht="27" customHeight="1">
      <c r="A2" s="517"/>
      <c r="B2" s="517"/>
      <c r="C2" s="517"/>
      <c r="D2" s="517"/>
      <c r="E2" s="517"/>
      <c r="F2" s="517"/>
      <c r="G2" s="517"/>
    </row>
    <row r="3" spans="1:7" s="18" customFormat="1" ht="25.5" customHeight="1">
      <c r="A3" s="19"/>
      <c r="B3" s="19"/>
      <c r="C3" s="19"/>
      <c r="D3" s="20"/>
      <c r="E3" s="20"/>
      <c r="F3" s="20"/>
      <c r="G3" s="20"/>
    </row>
    <row r="4" spans="1:7" s="18" customFormat="1" ht="18" customHeight="1">
      <c r="A4" s="21"/>
      <c r="B4" s="22"/>
      <c r="C4" s="17"/>
    </row>
    <row r="5" spans="1:7" s="18" customFormat="1" ht="33" customHeight="1">
      <c r="A5" s="529" t="s">
        <v>136</v>
      </c>
      <c r="B5" s="529"/>
      <c r="C5" s="529"/>
      <c r="D5" s="529"/>
      <c r="E5" s="529"/>
      <c r="F5" s="529"/>
      <c r="G5" s="529"/>
    </row>
    <row r="6" spans="1:7" s="18" customFormat="1" ht="18">
      <c r="A6" s="23"/>
      <c r="B6" s="24"/>
      <c r="C6" s="25"/>
    </row>
    <row r="7" spans="1:7" s="18" customFormat="1" ht="15" customHeight="1">
      <c r="A7" s="26" t="s">
        <v>319</v>
      </c>
      <c r="B7" s="27"/>
      <c r="C7" s="27"/>
    </row>
    <row r="8" spans="1:7" s="18" customFormat="1" ht="15">
      <c r="A8" s="26" t="s">
        <v>318</v>
      </c>
      <c r="B8" s="7"/>
      <c r="C8" s="9"/>
    </row>
    <row r="9" spans="1:7" s="18" customFormat="1" ht="15">
      <c r="A9" s="26"/>
      <c r="B9" s="7"/>
      <c r="C9" s="9"/>
    </row>
    <row r="10" spans="1:7" s="18" customFormat="1" ht="15">
      <c r="A10" s="5"/>
      <c r="B10" s="6"/>
      <c r="C10" s="7"/>
      <c r="D10" s="8"/>
    </row>
    <row r="11" spans="1:7" s="18" customFormat="1" ht="15">
      <c r="A11" s="28" t="s">
        <v>12</v>
      </c>
      <c r="B11" s="6"/>
      <c r="C11" s="7"/>
      <c r="D11" s="8"/>
    </row>
    <row r="12" spans="1:7" s="18" customFormat="1" ht="15">
      <c r="A12" s="28"/>
      <c r="B12" s="6"/>
      <c r="C12" s="7"/>
      <c r="D12" s="8"/>
    </row>
    <row r="13" spans="1:7" s="18" customFormat="1" ht="15">
      <c r="A13" s="1"/>
      <c r="B13" s="29" t="s">
        <v>47</v>
      </c>
      <c r="C13" s="150">
        <f>C30</f>
        <v>0</v>
      </c>
    </row>
    <row r="14" spans="1:7" s="18" customFormat="1" ht="15">
      <c r="A14" s="28"/>
      <c r="B14" s="30" t="s">
        <v>48</v>
      </c>
      <c r="C14" s="151">
        <f>G26</f>
        <v>0</v>
      </c>
    </row>
    <row r="15" spans="1:7" s="18" customFormat="1" ht="15">
      <c r="A15" s="28"/>
      <c r="B15" s="7"/>
      <c r="C15" s="8"/>
    </row>
    <row r="16" spans="1:7" s="18" customFormat="1" ht="15">
      <c r="A16" s="28"/>
      <c r="B16" s="167" t="s">
        <v>400</v>
      </c>
      <c r="C16" s="8"/>
    </row>
    <row r="17" spans="1:8" s="18" customFormat="1" ht="15.75" thickBot="1">
      <c r="A17" s="26"/>
      <c r="B17" s="7"/>
      <c r="C17" s="9"/>
    </row>
    <row r="18" spans="1:8" ht="12.75" customHeight="1">
      <c r="A18" s="534" t="s">
        <v>44</v>
      </c>
      <c r="B18" s="537" t="s">
        <v>45</v>
      </c>
      <c r="C18" s="537" t="s">
        <v>49</v>
      </c>
      <c r="D18" s="531" t="s">
        <v>21</v>
      </c>
      <c r="E18" s="531" t="s">
        <v>22</v>
      </c>
      <c r="F18" s="531" t="s">
        <v>23</v>
      </c>
      <c r="G18" s="526" t="s">
        <v>25</v>
      </c>
    </row>
    <row r="19" spans="1:8" s="32" customFormat="1" ht="12.75" customHeight="1">
      <c r="A19" s="535"/>
      <c r="B19" s="538"/>
      <c r="C19" s="538"/>
      <c r="D19" s="532"/>
      <c r="E19" s="532"/>
      <c r="F19" s="532"/>
      <c r="G19" s="527"/>
    </row>
    <row r="20" spans="1:8" s="32" customFormat="1" ht="11.25" customHeight="1" thickBot="1">
      <c r="A20" s="536"/>
      <c r="B20" s="539"/>
      <c r="C20" s="539"/>
      <c r="D20" s="533"/>
      <c r="E20" s="533"/>
      <c r="F20" s="533"/>
      <c r="G20" s="528"/>
    </row>
    <row r="21" spans="1:8" s="34" customFormat="1">
      <c r="A21" s="168" t="s">
        <v>6</v>
      </c>
      <c r="B21" s="511" t="s">
        <v>50</v>
      </c>
      <c r="C21" s="169"/>
      <c r="D21" s="170"/>
      <c r="E21" s="170"/>
      <c r="F21" s="170"/>
      <c r="G21" s="171"/>
    </row>
    <row r="22" spans="1:8" s="34" customFormat="1">
      <c r="A22" s="172" t="s">
        <v>7</v>
      </c>
      <c r="B22" s="512" t="s">
        <v>346</v>
      </c>
      <c r="C22" s="102"/>
      <c r="D22" s="149"/>
      <c r="E22" s="149"/>
      <c r="F22" s="149"/>
      <c r="G22" s="173"/>
    </row>
    <row r="23" spans="1:8" s="34" customFormat="1">
      <c r="A23" s="172" t="s">
        <v>8</v>
      </c>
      <c r="B23" s="512" t="s">
        <v>348</v>
      </c>
      <c r="C23" s="102"/>
      <c r="D23" s="149"/>
      <c r="E23" s="149"/>
      <c r="F23" s="149"/>
      <c r="G23" s="173"/>
    </row>
    <row r="24" spans="1:8" s="34" customFormat="1">
      <c r="A24" s="172" t="s">
        <v>9</v>
      </c>
      <c r="B24" s="513" t="s">
        <v>347</v>
      </c>
      <c r="C24" s="102"/>
      <c r="D24" s="149"/>
      <c r="E24" s="149"/>
      <c r="F24" s="149"/>
      <c r="G24" s="173"/>
    </row>
    <row r="25" spans="1:8" s="34" customFormat="1" ht="13.5" thickBot="1">
      <c r="A25" s="174" t="s">
        <v>10</v>
      </c>
      <c r="B25" s="514" t="s">
        <v>407</v>
      </c>
      <c r="C25" s="102"/>
      <c r="D25" s="149"/>
      <c r="E25" s="149"/>
      <c r="F25" s="149"/>
      <c r="G25" s="173"/>
    </row>
    <row r="26" spans="1:8" s="34" customFormat="1" ht="13.5" thickBot="1">
      <c r="A26" s="161"/>
      <c r="B26" s="162" t="s">
        <v>5</v>
      </c>
      <c r="C26" s="163">
        <f>SUM(C21:C25)</f>
        <v>0</v>
      </c>
      <c r="D26" s="163">
        <f>SUM(D21:D25)</f>
        <v>0</v>
      </c>
      <c r="E26" s="163">
        <f>SUM(E21:E25)</f>
        <v>0</v>
      </c>
      <c r="F26" s="163">
        <f>SUM(F21:F25)</f>
        <v>0</v>
      </c>
      <c r="G26" s="14">
        <f>SUM(G21:G25)</f>
        <v>0</v>
      </c>
      <c r="H26" s="85"/>
    </row>
    <row r="27" spans="1:8" s="34" customFormat="1">
      <c r="A27" s="540" t="s">
        <v>425</v>
      </c>
      <c r="B27" s="540"/>
      <c r="C27" s="37"/>
      <c r="D27" s="31"/>
      <c r="E27" s="31"/>
      <c r="F27" s="31"/>
      <c r="G27" s="31"/>
      <c r="H27" s="85"/>
    </row>
    <row r="28" spans="1:8" s="34" customFormat="1">
      <c r="A28" s="541" t="s">
        <v>426</v>
      </c>
      <c r="B28" s="541"/>
      <c r="C28" s="37"/>
      <c r="D28" s="31"/>
      <c r="E28" s="31"/>
      <c r="F28" s="31"/>
      <c r="G28" s="31"/>
      <c r="H28" s="85"/>
    </row>
    <row r="29" spans="1:8" s="34" customFormat="1">
      <c r="A29" s="541" t="s">
        <v>31</v>
      </c>
      <c r="B29" s="541"/>
      <c r="C29" s="37"/>
      <c r="D29" s="31"/>
      <c r="E29" s="31"/>
      <c r="F29" s="31"/>
      <c r="G29" s="31"/>
      <c r="H29" s="85"/>
    </row>
    <row r="30" spans="1:8" s="34" customFormat="1">
      <c r="A30" s="530" t="s">
        <v>30</v>
      </c>
      <c r="B30" s="530"/>
      <c r="C30" s="38">
        <f>SUM(C26:C29)</f>
        <v>0</v>
      </c>
      <c r="D30" s="31"/>
      <c r="E30" s="31"/>
      <c r="F30" s="31"/>
      <c r="G30" s="31"/>
      <c r="H30" s="85"/>
    </row>
    <row r="31" spans="1:8" s="34" customFormat="1">
      <c r="A31" s="12"/>
      <c r="B31" s="40"/>
      <c r="C31" s="44"/>
      <c r="D31" s="41"/>
      <c r="E31" s="31"/>
      <c r="F31" s="31"/>
      <c r="G31" s="31"/>
      <c r="H31" s="36"/>
    </row>
    <row r="32" spans="1:8" ht="16.5" customHeight="1">
      <c r="A32" s="12"/>
      <c r="B32" s="40"/>
      <c r="C32" s="44"/>
      <c r="D32" s="41"/>
    </row>
    <row r="33" spans="1:7" ht="16.5" customHeight="1">
      <c r="A33" s="12"/>
      <c r="B33" s="40"/>
      <c r="C33" s="44"/>
      <c r="D33" s="41"/>
    </row>
    <row r="34" spans="1:7" ht="16.5" customHeight="1">
      <c r="A34" s="42" t="s">
        <v>421</v>
      </c>
      <c r="B34" s="30"/>
      <c r="C34" s="44"/>
      <c r="D34" s="41"/>
    </row>
    <row r="35" spans="1:7" ht="16.5" customHeight="1">
      <c r="A35" s="46"/>
      <c r="B35" s="43"/>
      <c r="C35" s="44"/>
      <c r="D35" s="41"/>
    </row>
    <row r="36" spans="1:7" ht="16.5" customHeight="1">
      <c r="A36" s="12"/>
      <c r="B36" s="40"/>
      <c r="C36" s="44"/>
      <c r="D36" s="41"/>
    </row>
    <row r="37" spans="1:7" ht="16.5" customHeight="1">
      <c r="A37" s="12"/>
      <c r="B37" s="40"/>
      <c r="C37" s="44"/>
      <c r="D37" s="41"/>
      <c r="E37" s="148"/>
      <c r="F37" s="148"/>
      <c r="G37" s="148"/>
    </row>
    <row r="38" spans="1:7" ht="16.5" customHeight="1">
      <c r="A38" s="42" t="s">
        <v>420</v>
      </c>
      <c r="B38" s="40"/>
      <c r="C38" s="44"/>
      <c r="D38" s="41"/>
      <c r="E38" s="148"/>
      <c r="F38" s="148"/>
      <c r="G38" s="148"/>
    </row>
    <row r="39" spans="1:7" ht="16.5" customHeight="1">
      <c r="B39" s="40"/>
      <c r="C39" s="41"/>
    </row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</sheetData>
  <mergeCells count="14">
    <mergeCell ref="A2:G2"/>
    <mergeCell ref="A1:G1"/>
    <mergeCell ref="G18:G20"/>
    <mergeCell ref="A5:G5"/>
    <mergeCell ref="A30:B30"/>
    <mergeCell ref="D18:D20"/>
    <mergeCell ref="E18:E20"/>
    <mergeCell ref="F18:F20"/>
    <mergeCell ref="A18:A20"/>
    <mergeCell ref="B18:B20"/>
    <mergeCell ref="C18:C20"/>
    <mergeCell ref="A27:B27"/>
    <mergeCell ref="A28:B28"/>
    <mergeCell ref="A29:B29"/>
  </mergeCells>
  <phoneticPr fontId="40" type="noConversion"/>
  <pageMargins left="0.78740157480314965" right="0.39370078740157483" top="0.78740157480314965" bottom="0.39370078740157483" header="0.51181102362204722" footer="0.51181102362204722"/>
  <pageSetup paperSize="9" scale="99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showZeros="0" zoomScale="92" workbookViewId="0">
      <selection activeCell="R41" sqref="R41"/>
    </sheetView>
  </sheetViews>
  <sheetFormatPr defaultRowHeight="11.25"/>
  <cols>
    <col min="1" max="1" width="3" style="98" customWidth="1"/>
    <col min="2" max="2" width="9" style="121" customWidth="1"/>
    <col min="3" max="3" width="30.140625" style="98" customWidth="1"/>
    <col min="4" max="4" width="6.140625" style="98" bestFit="1" customWidth="1"/>
    <col min="5" max="5" width="9.5703125" style="98" bestFit="1" customWidth="1"/>
    <col min="6" max="6" width="6" style="98" customWidth="1"/>
    <col min="7" max="7" width="8" style="98" customWidth="1"/>
    <col min="8" max="8" width="6.5703125" style="98" bestFit="1" customWidth="1"/>
    <col min="9" max="9" width="7.5703125" style="98" bestFit="1" customWidth="1"/>
    <col min="10" max="10" width="6.5703125" style="98" bestFit="1" customWidth="1"/>
    <col min="11" max="11" width="7.5703125" style="98" bestFit="1" customWidth="1"/>
    <col min="12" max="12" width="8.28515625" style="98" customWidth="1"/>
    <col min="13" max="13" width="9.85546875" style="98" customWidth="1"/>
    <col min="14" max="14" width="9.5703125" style="98" bestFit="1" customWidth="1"/>
    <col min="15" max="15" width="8.5703125" style="98" bestFit="1" customWidth="1"/>
    <col min="16" max="16" width="10.140625" style="98" customWidth="1"/>
    <col min="17" max="16384" width="9.140625" style="98"/>
  </cols>
  <sheetData>
    <row r="1" spans="1:16" ht="18">
      <c r="A1" s="564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3.5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3.5" customHeight="1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</row>
    <row r="5" spans="1:16" ht="14.25">
      <c r="A5" s="567" t="s">
        <v>60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</row>
    <row r="6" spans="1:16" ht="14.25">
      <c r="A6" s="567" t="str">
        <f>[1]O1!B21</f>
        <v>Būvlaukuma sagatavošanas darbi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</row>
    <row r="7" spans="1:16" ht="14.25">
      <c r="A7" s="123"/>
      <c r="B7" s="10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14.25">
      <c r="A8" s="104" t="s">
        <v>143</v>
      </c>
      <c r="B8" s="105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14.25">
      <c r="A9" s="108" t="s">
        <v>142</v>
      </c>
      <c r="B9" s="105"/>
      <c r="C9" s="109"/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4.25">
      <c r="A10" s="108" t="str">
        <f>'O1'!A8</f>
        <v>Objekta adrese: Liepājas iela 58a, Kuldīga, Kuldīgas novads</v>
      </c>
      <c r="B10" s="105"/>
      <c r="C10" s="109"/>
      <c r="D10" s="110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>
      <c r="A11" s="111"/>
      <c r="B11" s="112"/>
      <c r="C11" s="109"/>
      <c r="D11" s="110"/>
      <c r="E11" s="107"/>
      <c r="F11" s="113"/>
      <c r="G11" s="107"/>
      <c r="H11" s="107"/>
      <c r="I11" s="107"/>
      <c r="J11" s="107"/>
      <c r="K11" s="107"/>
      <c r="L11" s="113"/>
      <c r="M11" s="107"/>
      <c r="N11" s="114"/>
      <c r="O11" s="114"/>
      <c r="P11" s="107"/>
    </row>
    <row r="12" spans="1:16" ht="14.25">
      <c r="A12" s="108" t="s">
        <v>12</v>
      </c>
      <c r="B12" s="112"/>
      <c r="C12" s="109"/>
      <c r="D12" s="110"/>
      <c r="E12" s="107"/>
      <c r="F12" s="113"/>
      <c r="G12" s="107"/>
      <c r="H12" s="107"/>
      <c r="I12" s="107"/>
      <c r="J12" s="107"/>
      <c r="K12" s="107"/>
      <c r="L12" s="568" t="s">
        <v>13</v>
      </c>
      <c r="M12" s="568"/>
      <c r="N12" s="568"/>
      <c r="O12" s="561">
        <f>P43</f>
        <v>0</v>
      </c>
      <c r="P12" s="561"/>
    </row>
    <row r="13" spans="1:16" ht="14.25">
      <c r="A13" s="108" t="s">
        <v>168</v>
      </c>
      <c r="B13" s="112"/>
      <c r="C13" s="109"/>
      <c r="D13" s="110"/>
      <c r="E13" s="107"/>
      <c r="F13" s="113"/>
      <c r="G13" s="107"/>
      <c r="H13" s="107"/>
      <c r="I13" s="107"/>
      <c r="J13" s="107"/>
      <c r="K13" s="107"/>
      <c r="L13" s="104" t="str">
        <f>'O1'!B16</f>
        <v>Tāme sastādīta: 2013. gada 18. martā</v>
      </c>
      <c r="M13" s="107"/>
      <c r="N13" s="114"/>
      <c r="O13" s="114"/>
      <c r="P13" s="107"/>
    </row>
    <row r="14" spans="1:16">
      <c r="A14" s="111"/>
      <c r="B14" s="112"/>
      <c r="C14" s="109"/>
      <c r="D14" s="110"/>
      <c r="E14" s="107"/>
      <c r="F14" s="113"/>
      <c r="G14" s="107"/>
      <c r="H14" s="107"/>
      <c r="I14" s="107"/>
      <c r="J14" s="107"/>
      <c r="K14" s="107"/>
      <c r="L14" s="113"/>
      <c r="M14" s="107"/>
      <c r="N14" s="114"/>
      <c r="O14" s="107"/>
      <c r="P14" s="107"/>
    </row>
    <row r="15" spans="1:16" ht="12" thickBot="1">
      <c r="A15" s="115"/>
      <c r="B15" s="112"/>
      <c r="C15" s="106"/>
      <c r="D15" s="107"/>
      <c r="E15" s="107"/>
      <c r="F15" s="107"/>
      <c r="G15" s="107"/>
      <c r="H15" s="107"/>
      <c r="I15" s="107"/>
      <c r="J15" s="107"/>
      <c r="K15" s="107"/>
      <c r="L15" s="113"/>
      <c r="M15" s="107"/>
      <c r="N15" s="107"/>
      <c r="O15" s="107"/>
      <c r="P15" s="107"/>
    </row>
    <row r="16" spans="1:16">
      <c r="A16" s="551" t="s">
        <v>14</v>
      </c>
      <c r="B16" s="553" t="s">
        <v>15</v>
      </c>
      <c r="C16" s="562" t="s">
        <v>16</v>
      </c>
      <c r="D16" s="569" t="s">
        <v>3</v>
      </c>
      <c r="E16" s="555" t="s">
        <v>4</v>
      </c>
      <c r="F16" s="557" t="s">
        <v>17</v>
      </c>
      <c r="G16" s="558"/>
      <c r="H16" s="558"/>
      <c r="I16" s="558"/>
      <c r="J16" s="558"/>
      <c r="K16" s="559"/>
      <c r="L16" s="560" t="s">
        <v>18</v>
      </c>
      <c r="M16" s="558"/>
      <c r="N16" s="558"/>
      <c r="O16" s="558"/>
      <c r="P16" s="559"/>
    </row>
    <row r="17" spans="1:16" ht="77.25" customHeight="1" thickBot="1">
      <c r="A17" s="552"/>
      <c r="B17" s="554"/>
      <c r="C17" s="563"/>
      <c r="D17" s="570"/>
      <c r="E17" s="556"/>
      <c r="F17" s="124" t="s">
        <v>19</v>
      </c>
      <c r="G17" s="116" t="s">
        <v>20</v>
      </c>
      <c r="H17" s="116" t="s">
        <v>21</v>
      </c>
      <c r="I17" s="116" t="s">
        <v>22</v>
      </c>
      <c r="J17" s="116" t="s">
        <v>23</v>
      </c>
      <c r="K17" s="117" t="s">
        <v>24</v>
      </c>
      <c r="L17" s="118" t="s">
        <v>25</v>
      </c>
      <c r="M17" s="116" t="s">
        <v>21</v>
      </c>
      <c r="N17" s="116" t="s">
        <v>22</v>
      </c>
      <c r="O17" s="116" t="s">
        <v>23</v>
      </c>
      <c r="P17" s="117" t="s">
        <v>26</v>
      </c>
    </row>
    <row r="18" spans="1:16" ht="22.5">
      <c r="A18" s="86" t="s">
        <v>6</v>
      </c>
      <c r="B18" s="87" t="s">
        <v>27</v>
      </c>
      <c r="C18" s="176" t="s">
        <v>71</v>
      </c>
      <c r="D18" s="88" t="s">
        <v>61</v>
      </c>
      <c r="E18" s="99">
        <v>4</v>
      </c>
      <c r="F18" s="100"/>
      <c r="G18" s="89"/>
      <c r="H18" s="89"/>
      <c r="I18" s="89"/>
      <c r="J18" s="89"/>
      <c r="K18" s="90"/>
      <c r="L18" s="101"/>
      <c r="M18" s="89"/>
      <c r="N18" s="89"/>
      <c r="O18" s="89"/>
      <c r="P18" s="90"/>
    </row>
    <row r="19" spans="1:16">
      <c r="A19" s="84"/>
      <c r="B19" s="74"/>
      <c r="C19" s="82" t="s">
        <v>41</v>
      </c>
      <c r="D19" s="76" t="s">
        <v>62</v>
      </c>
      <c r="E19" s="77">
        <f>E18</f>
        <v>4</v>
      </c>
      <c r="F19" s="78"/>
      <c r="G19" s="79"/>
      <c r="H19" s="79"/>
      <c r="I19" s="79"/>
      <c r="J19" s="79"/>
      <c r="K19" s="80"/>
      <c r="L19" s="81"/>
      <c r="M19" s="79"/>
      <c r="N19" s="79"/>
      <c r="O19" s="79"/>
      <c r="P19" s="80"/>
    </row>
    <row r="20" spans="1:16">
      <c r="A20" s="84"/>
      <c r="B20" s="74"/>
      <c r="C20" s="82" t="s">
        <v>42</v>
      </c>
      <c r="D20" s="76" t="s">
        <v>43</v>
      </c>
      <c r="E20" s="77">
        <v>40</v>
      </c>
      <c r="F20" s="78"/>
      <c r="G20" s="79"/>
      <c r="H20" s="79"/>
      <c r="I20" s="79"/>
      <c r="J20" s="79"/>
      <c r="K20" s="80"/>
      <c r="L20" s="81"/>
      <c r="M20" s="79"/>
      <c r="N20" s="79"/>
      <c r="O20" s="79"/>
      <c r="P20" s="80"/>
    </row>
    <row r="21" spans="1:16" ht="22.5">
      <c r="A21" s="84" t="s">
        <v>7</v>
      </c>
      <c r="B21" s="74" t="s">
        <v>27</v>
      </c>
      <c r="C21" s="75" t="s">
        <v>72</v>
      </c>
      <c r="D21" s="76" t="s">
        <v>61</v>
      </c>
      <c r="E21" s="77">
        <v>4</v>
      </c>
      <c r="F21" s="78"/>
      <c r="G21" s="79"/>
      <c r="H21" s="79"/>
      <c r="I21" s="79"/>
      <c r="J21" s="79"/>
      <c r="K21" s="80"/>
      <c r="L21" s="81"/>
      <c r="M21" s="79"/>
      <c r="N21" s="79"/>
      <c r="O21" s="79"/>
      <c r="P21" s="80"/>
    </row>
    <row r="22" spans="1:16">
      <c r="A22" s="84"/>
      <c r="B22" s="74"/>
      <c r="C22" s="82" t="s">
        <v>41</v>
      </c>
      <c r="D22" s="76" t="s">
        <v>62</v>
      </c>
      <c r="E22" s="77">
        <f>E21</f>
        <v>4</v>
      </c>
      <c r="F22" s="78"/>
      <c r="G22" s="79"/>
      <c r="H22" s="79"/>
      <c r="I22" s="79"/>
      <c r="J22" s="79"/>
      <c r="K22" s="80"/>
      <c r="L22" s="81"/>
      <c r="M22" s="79"/>
      <c r="N22" s="79"/>
      <c r="O22" s="79"/>
      <c r="P22" s="80"/>
    </row>
    <row r="23" spans="1:16">
      <c r="A23" s="84"/>
      <c r="B23" s="74"/>
      <c r="C23" s="82" t="s">
        <v>42</v>
      </c>
      <c r="D23" s="76" t="s">
        <v>43</v>
      </c>
      <c r="E23" s="77">
        <v>40</v>
      </c>
      <c r="F23" s="78"/>
      <c r="G23" s="79"/>
      <c r="H23" s="79"/>
      <c r="I23" s="79"/>
      <c r="J23" s="79"/>
      <c r="K23" s="80"/>
      <c r="L23" s="81"/>
      <c r="M23" s="79"/>
      <c r="N23" s="79"/>
      <c r="O23" s="79"/>
      <c r="P23" s="80"/>
    </row>
    <row r="24" spans="1:16" ht="22.5">
      <c r="A24" s="84" t="s">
        <v>7</v>
      </c>
      <c r="B24" s="74" t="s">
        <v>27</v>
      </c>
      <c r="C24" s="75" t="s">
        <v>149</v>
      </c>
      <c r="D24" s="76" t="s">
        <v>61</v>
      </c>
      <c r="E24" s="77">
        <v>4</v>
      </c>
      <c r="F24" s="78"/>
      <c r="G24" s="79"/>
      <c r="H24" s="79"/>
      <c r="I24" s="79"/>
      <c r="J24" s="79"/>
      <c r="K24" s="80"/>
      <c r="L24" s="81"/>
      <c r="M24" s="79"/>
      <c r="N24" s="79"/>
      <c r="O24" s="79"/>
      <c r="P24" s="80"/>
    </row>
    <row r="25" spans="1:16">
      <c r="A25" s="84"/>
      <c r="B25" s="74"/>
      <c r="C25" s="82" t="s">
        <v>41</v>
      </c>
      <c r="D25" s="76" t="s">
        <v>62</v>
      </c>
      <c r="E25" s="77">
        <f>E24</f>
        <v>4</v>
      </c>
      <c r="F25" s="78"/>
      <c r="G25" s="79"/>
      <c r="H25" s="79"/>
      <c r="I25" s="79"/>
      <c r="J25" s="79"/>
      <c r="K25" s="80"/>
      <c r="L25" s="81"/>
      <c r="M25" s="79"/>
      <c r="N25" s="79"/>
      <c r="O25" s="79"/>
      <c r="P25" s="80"/>
    </row>
    <row r="26" spans="1:16">
      <c r="A26" s="84"/>
      <c r="B26" s="74"/>
      <c r="C26" s="82" t="s">
        <v>42</v>
      </c>
      <c r="D26" s="76" t="s">
        <v>43</v>
      </c>
      <c r="E26" s="77">
        <v>40</v>
      </c>
      <c r="F26" s="78"/>
      <c r="G26" s="79"/>
      <c r="H26" s="79"/>
      <c r="I26" s="79"/>
      <c r="J26" s="79"/>
      <c r="K26" s="80"/>
      <c r="L26" s="81"/>
      <c r="M26" s="79"/>
      <c r="N26" s="79"/>
      <c r="O26" s="79"/>
      <c r="P26" s="80"/>
    </row>
    <row r="27" spans="1:16" ht="22.5">
      <c r="A27" s="84" t="s">
        <v>8</v>
      </c>
      <c r="B27" s="74" t="s">
        <v>27</v>
      </c>
      <c r="C27" s="177" t="s">
        <v>73</v>
      </c>
      <c r="D27" s="178" t="s">
        <v>62</v>
      </c>
      <c r="E27" s="77">
        <v>4</v>
      </c>
      <c r="F27" s="78"/>
      <c r="G27" s="79"/>
      <c r="H27" s="79"/>
      <c r="I27" s="79"/>
      <c r="J27" s="79"/>
      <c r="K27" s="80"/>
      <c r="L27" s="81"/>
      <c r="M27" s="79"/>
      <c r="N27" s="79"/>
      <c r="O27" s="79"/>
      <c r="P27" s="80"/>
    </row>
    <row r="28" spans="1:16">
      <c r="A28" s="84"/>
      <c r="B28" s="74"/>
      <c r="C28" s="179" t="s">
        <v>40</v>
      </c>
      <c r="D28" s="76" t="s">
        <v>62</v>
      </c>
      <c r="E28" s="77">
        <f>E27</f>
        <v>4</v>
      </c>
      <c r="F28" s="78"/>
      <c r="G28" s="79"/>
      <c r="H28" s="79"/>
      <c r="I28" s="79"/>
      <c r="J28" s="79"/>
      <c r="K28" s="80"/>
      <c r="L28" s="81"/>
      <c r="M28" s="79"/>
      <c r="N28" s="79"/>
      <c r="O28" s="79"/>
      <c r="P28" s="80"/>
    </row>
    <row r="29" spans="1:16" ht="22.5">
      <c r="A29" s="84" t="s">
        <v>9</v>
      </c>
      <c r="B29" s="74" t="s">
        <v>27</v>
      </c>
      <c r="C29" s="177" t="s">
        <v>63</v>
      </c>
      <c r="D29" s="178" t="s">
        <v>1</v>
      </c>
      <c r="E29" s="77">
        <v>1</v>
      </c>
      <c r="F29" s="78"/>
      <c r="G29" s="79"/>
      <c r="H29" s="79"/>
      <c r="I29" s="79"/>
      <c r="J29" s="79"/>
      <c r="K29" s="80"/>
      <c r="L29" s="81"/>
      <c r="M29" s="79"/>
      <c r="N29" s="79"/>
      <c r="O29" s="79"/>
      <c r="P29" s="80"/>
    </row>
    <row r="30" spans="1:16">
      <c r="A30" s="84"/>
      <c r="B30" s="74"/>
      <c r="C30" s="179" t="s">
        <v>64</v>
      </c>
      <c r="D30" s="76" t="s">
        <v>1</v>
      </c>
      <c r="E30" s="77">
        <v>1</v>
      </c>
      <c r="F30" s="78"/>
      <c r="G30" s="79"/>
      <c r="H30" s="79"/>
      <c r="I30" s="79"/>
      <c r="J30" s="79"/>
      <c r="K30" s="80"/>
      <c r="L30" s="81"/>
      <c r="M30" s="79"/>
      <c r="N30" s="79"/>
      <c r="O30" s="79"/>
      <c r="P30" s="80"/>
    </row>
    <row r="31" spans="1:16" ht="33.75">
      <c r="A31" s="84" t="s">
        <v>10</v>
      </c>
      <c r="B31" s="74" t="s">
        <v>27</v>
      </c>
      <c r="C31" s="75" t="s">
        <v>153</v>
      </c>
      <c r="D31" s="76" t="s">
        <v>2</v>
      </c>
      <c r="E31" s="91">
        <v>80</v>
      </c>
      <c r="F31" s="78"/>
      <c r="G31" s="79"/>
      <c r="H31" s="79"/>
      <c r="I31" s="79"/>
      <c r="J31" s="79"/>
      <c r="K31" s="80"/>
      <c r="L31" s="81"/>
      <c r="M31" s="79"/>
      <c r="N31" s="79"/>
      <c r="O31" s="79"/>
      <c r="P31" s="80"/>
    </row>
    <row r="32" spans="1:16">
      <c r="A32" s="84"/>
      <c r="B32" s="74"/>
      <c r="C32" s="82" t="s">
        <v>154</v>
      </c>
      <c r="D32" s="76" t="s">
        <v>2</v>
      </c>
      <c r="E32" s="77">
        <f>E31</f>
        <v>80</v>
      </c>
      <c r="F32" s="78"/>
      <c r="G32" s="79"/>
      <c r="H32" s="79"/>
      <c r="I32" s="79"/>
      <c r="J32" s="79"/>
      <c r="K32" s="80"/>
      <c r="L32" s="81"/>
      <c r="M32" s="79"/>
      <c r="N32" s="79"/>
      <c r="O32" s="79"/>
      <c r="P32" s="80"/>
    </row>
    <row r="33" spans="1:16" ht="33.75">
      <c r="A33" s="84" t="s">
        <v>11</v>
      </c>
      <c r="B33" s="74" t="s">
        <v>27</v>
      </c>
      <c r="C33" s="177" t="s">
        <v>65</v>
      </c>
      <c r="D33" s="178" t="s">
        <v>0</v>
      </c>
      <c r="E33" s="77">
        <v>1</v>
      </c>
      <c r="F33" s="78"/>
      <c r="G33" s="79"/>
      <c r="H33" s="79"/>
      <c r="I33" s="79"/>
      <c r="J33" s="79"/>
      <c r="K33" s="80"/>
      <c r="L33" s="81"/>
      <c r="M33" s="79"/>
      <c r="N33" s="79"/>
      <c r="O33" s="79"/>
      <c r="P33" s="80"/>
    </row>
    <row r="34" spans="1:16">
      <c r="A34" s="84"/>
      <c r="B34" s="74"/>
      <c r="C34" s="179" t="s">
        <v>66</v>
      </c>
      <c r="D34" s="76" t="s">
        <v>0</v>
      </c>
      <c r="E34" s="77">
        <f>E33</f>
        <v>1</v>
      </c>
      <c r="F34" s="78"/>
      <c r="G34" s="79"/>
      <c r="H34" s="79"/>
      <c r="I34" s="79"/>
      <c r="J34" s="79"/>
      <c r="K34" s="80"/>
      <c r="L34" s="81"/>
      <c r="M34" s="79"/>
      <c r="N34" s="79"/>
      <c r="O34" s="79"/>
      <c r="P34" s="80"/>
    </row>
    <row r="35" spans="1:16" ht="22.5">
      <c r="A35" s="84" t="s">
        <v>28</v>
      </c>
      <c r="B35" s="74" t="s">
        <v>27</v>
      </c>
      <c r="C35" s="177" t="s">
        <v>67</v>
      </c>
      <c r="D35" s="178" t="s">
        <v>62</v>
      </c>
      <c r="E35" s="77">
        <v>4</v>
      </c>
      <c r="F35" s="78"/>
      <c r="G35" s="79"/>
      <c r="H35" s="79"/>
      <c r="I35" s="79"/>
      <c r="J35" s="79"/>
      <c r="K35" s="80"/>
      <c r="L35" s="81"/>
      <c r="M35" s="79"/>
      <c r="N35" s="79"/>
      <c r="O35" s="79"/>
      <c r="P35" s="80"/>
    </row>
    <row r="36" spans="1:16">
      <c r="A36" s="84"/>
      <c r="B36" s="74"/>
      <c r="C36" s="179" t="s">
        <v>68</v>
      </c>
      <c r="D36" s="76" t="s">
        <v>62</v>
      </c>
      <c r="E36" s="77">
        <f>E35</f>
        <v>4</v>
      </c>
      <c r="F36" s="78"/>
      <c r="G36" s="79"/>
      <c r="H36" s="79"/>
      <c r="I36" s="79"/>
      <c r="J36" s="79"/>
      <c r="K36" s="80"/>
      <c r="L36" s="81"/>
      <c r="M36" s="79"/>
      <c r="N36" s="79"/>
      <c r="O36" s="79"/>
      <c r="P36" s="80"/>
    </row>
    <row r="37" spans="1:16" ht="22.5">
      <c r="A37" s="84" t="s">
        <v>29</v>
      </c>
      <c r="B37" s="74" t="s">
        <v>27</v>
      </c>
      <c r="C37" s="177" t="s">
        <v>69</v>
      </c>
      <c r="D37" s="178" t="s">
        <v>0</v>
      </c>
      <c r="E37" s="77">
        <v>1</v>
      </c>
      <c r="F37" s="78"/>
      <c r="G37" s="79"/>
      <c r="H37" s="79"/>
      <c r="I37" s="79"/>
      <c r="J37" s="79"/>
      <c r="K37" s="80"/>
      <c r="L37" s="81"/>
      <c r="M37" s="79"/>
      <c r="N37" s="79"/>
      <c r="O37" s="79"/>
      <c r="P37" s="80"/>
    </row>
    <row r="38" spans="1:16">
      <c r="A38" s="84"/>
      <c r="B38" s="74"/>
      <c r="C38" s="179" t="s">
        <v>66</v>
      </c>
      <c r="D38" s="76" t="s">
        <v>0</v>
      </c>
      <c r="E38" s="77">
        <f>E37</f>
        <v>1</v>
      </c>
      <c r="F38" s="78"/>
      <c r="G38" s="79"/>
      <c r="H38" s="79"/>
      <c r="I38" s="79"/>
      <c r="J38" s="79"/>
      <c r="K38" s="80"/>
      <c r="L38" s="81"/>
      <c r="M38" s="79"/>
      <c r="N38" s="79"/>
      <c r="O38" s="79"/>
      <c r="P38" s="80"/>
    </row>
    <row r="39" spans="1:16" ht="22.5">
      <c r="A39" s="84" t="s">
        <v>33</v>
      </c>
      <c r="B39" s="74" t="s">
        <v>27</v>
      </c>
      <c r="C39" s="177" t="s">
        <v>70</v>
      </c>
      <c r="D39" s="178" t="s">
        <v>62</v>
      </c>
      <c r="E39" s="77">
        <v>4</v>
      </c>
      <c r="F39" s="78"/>
      <c r="G39" s="79"/>
      <c r="H39" s="79"/>
      <c r="I39" s="79"/>
      <c r="J39" s="79"/>
      <c r="K39" s="80"/>
      <c r="L39" s="81"/>
      <c r="M39" s="79"/>
      <c r="N39" s="79"/>
      <c r="O39" s="79"/>
      <c r="P39" s="80"/>
    </row>
    <row r="40" spans="1:16" ht="12" thickBot="1">
      <c r="A40" s="92"/>
      <c r="B40" s="180"/>
      <c r="C40" s="181" t="s">
        <v>68</v>
      </c>
      <c r="D40" s="93" t="s">
        <v>62</v>
      </c>
      <c r="E40" s="94">
        <f>E39</f>
        <v>4</v>
      </c>
      <c r="F40" s="95"/>
      <c r="G40" s="83"/>
      <c r="H40" s="83"/>
      <c r="I40" s="83"/>
      <c r="J40" s="83"/>
      <c r="K40" s="96"/>
      <c r="L40" s="97"/>
      <c r="M40" s="83"/>
      <c r="N40" s="83"/>
      <c r="O40" s="83"/>
      <c r="P40" s="96"/>
    </row>
    <row r="41" spans="1:16" ht="12" thickBot="1">
      <c r="A41" s="545" t="s">
        <v>5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7"/>
      <c r="L41" s="152">
        <f>SUM(L18:L40)</f>
        <v>0</v>
      </c>
      <c r="M41" s="153">
        <f>SUM(M18:M40)</f>
        <v>0</v>
      </c>
      <c r="N41" s="153">
        <f>SUM(N18:N40)/2</f>
        <v>0</v>
      </c>
      <c r="O41" s="153">
        <f>SUM(O18:O40)</f>
        <v>0</v>
      </c>
      <c r="P41" s="154">
        <f>SUM(P18:P40)</f>
        <v>0</v>
      </c>
    </row>
    <row r="42" spans="1:16" ht="12" thickBot="1">
      <c r="A42" s="548" t="s">
        <v>427</v>
      </c>
      <c r="B42" s="549"/>
      <c r="C42" s="549"/>
      <c r="D42" s="549"/>
      <c r="E42" s="549"/>
      <c r="F42" s="549"/>
      <c r="G42" s="549"/>
      <c r="H42" s="549"/>
      <c r="I42" s="549"/>
      <c r="J42" s="549"/>
      <c r="K42" s="550"/>
      <c r="L42" s="155"/>
      <c r="M42" s="156"/>
      <c r="N42" s="156"/>
      <c r="O42" s="156"/>
      <c r="P42" s="157"/>
    </row>
    <row r="43" spans="1:16" ht="12" thickBot="1">
      <c r="A43" s="542" t="s">
        <v>5</v>
      </c>
      <c r="B43" s="543"/>
      <c r="C43" s="543"/>
      <c r="D43" s="543"/>
      <c r="E43" s="543"/>
      <c r="F43" s="543"/>
      <c r="G43" s="543"/>
      <c r="H43" s="543"/>
      <c r="I43" s="543"/>
      <c r="J43" s="543"/>
      <c r="K43" s="544"/>
      <c r="L43" s="158">
        <f>SUM(L41:L42)</f>
        <v>0</v>
      </c>
      <c r="M43" s="159">
        <f>SUM(M41:M42)</f>
        <v>0</v>
      </c>
      <c r="N43" s="159">
        <f>SUM(N41:N42)</f>
        <v>0</v>
      </c>
      <c r="O43" s="159">
        <f>SUM(O41:O42)</f>
        <v>0</v>
      </c>
      <c r="P43" s="160">
        <f>SUM(P41:P42)</f>
        <v>0</v>
      </c>
    </row>
    <row r="45" spans="1:16">
      <c r="A45" s="175" t="s">
        <v>172</v>
      </c>
    </row>
    <row r="46" spans="1:16">
      <c r="B46" s="121" t="s">
        <v>173</v>
      </c>
    </row>
    <row r="48" spans="1:16">
      <c r="A48" s="119" t="s">
        <v>422</v>
      </c>
      <c r="B48" s="120"/>
      <c r="H48" s="119" t="s">
        <v>423</v>
      </c>
    </row>
    <row r="49" spans="6:6">
      <c r="F49" s="122"/>
    </row>
  </sheetData>
  <mergeCells count="16">
    <mergeCell ref="L16:P16"/>
    <mergeCell ref="O12:P12"/>
    <mergeCell ref="C16:C17"/>
    <mergeCell ref="A1:P1"/>
    <mergeCell ref="A2:P3"/>
    <mergeCell ref="A5:P5"/>
    <mergeCell ref="A6:P6"/>
    <mergeCell ref="L12:N12"/>
    <mergeCell ref="D16:D17"/>
    <mergeCell ref="A43:K43"/>
    <mergeCell ref="A41:K41"/>
    <mergeCell ref="A42:K42"/>
    <mergeCell ref="A16:A17"/>
    <mergeCell ref="B16:B17"/>
    <mergeCell ref="E16:E17"/>
    <mergeCell ref="F16:K16"/>
  </mergeCells>
  <phoneticPr fontId="1" type="noConversion"/>
  <printOptions horizontalCentered="1"/>
  <pageMargins left="0.19685039370078741" right="0.19685039370078741" top="0.78740157480314965" bottom="0.39370078740157483" header="0.51181102362204722" footer="0.19685039370078741"/>
  <pageSetup paperSize="9" orientation="landscape" r:id="rId1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1"/>
  <sheetViews>
    <sheetView showZeros="0" tabSelected="1" topLeftCell="A358" zoomScaleNormal="100" workbookViewId="0">
      <selection activeCell="B385" sqref="B385"/>
    </sheetView>
  </sheetViews>
  <sheetFormatPr defaultRowHeight="11.25"/>
  <cols>
    <col min="1" max="1" width="3" style="213" customWidth="1"/>
    <col min="2" max="2" width="9" style="244" customWidth="1"/>
    <col min="3" max="3" width="30.140625" style="213" customWidth="1"/>
    <col min="4" max="4" width="6.140625" style="213" bestFit="1" customWidth="1"/>
    <col min="5" max="5" width="9.5703125" style="213" bestFit="1" customWidth="1"/>
    <col min="6" max="6" width="6" style="213" customWidth="1"/>
    <col min="7" max="7" width="8" style="213" customWidth="1"/>
    <col min="8" max="8" width="6.5703125" style="213" bestFit="1" customWidth="1"/>
    <col min="9" max="9" width="7.5703125" style="213" bestFit="1" customWidth="1"/>
    <col min="10" max="10" width="6.5703125" style="213" bestFit="1" customWidth="1"/>
    <col min="11" max="11" width="7.5703125" style="213" bestFit="1" customWidth="1"/>
    <col min="12" max="12" width="8.28515625" style="213" customWidth="1"/>
    <col min="13" max="13" width="9.85546875" style="213" customWidth="1"/>
    <col min="14" max="14" width="9.5703125" style="213" bestFit="1" customWidth="1"/>
    <col min="15" max="15" width="8.5703125" style="213" bestFit="1" customWidth="1"/>
    <col min="16" max="16" width="10.140625" style="213" customWidth="1"/>
    <col min="17" max="16384" width="9.140625" style="213"/>
  </cols>
  <sheetData>
    <row r="1" spans="1:16" ht="18">
      <c r="A1" s="564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3.5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3.5" customHeight="1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</row>
    <row r="5" spans="1:16" ht="14.25">
      <c r="A5" s="571" t="s">
        <v>399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</row>
    <row r="6" spans="1:16" ht="14.25">
      <c r="A6" s="571" t="str">
        <f>'O1'!B22</f>
        <v>Būvdarbi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</row>
    <row r="7" spans="1:16" ht="14.25">
      <c r="A7" s="332"/>
      <c r="B7" s="215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8" spans="1:16" ht="14.25">
      <c r="A8" s="216" t="s">
        <v>143</v>
      </c>
      <c r="B8" s="217"/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ht="14.25">
      <c r="A9" s="220" t="s">
        <v>317</v>
      </c>
      <c r="B9" s="217"/>
      <c r="C9" s="221"/>
      <c r="D9" s="222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ht="14.25">
      <c r="A10" s="220" t="str">
        <f>'O1'!A8</f>
        <v>Objekta adrese: Liepājas iela 58a, Kuldīga, Kuldīgas novads</v>
      </c>
      <c r="B10" s="217"/>
      <c r="C10" s="221"/>
      <c r="D10" s="222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16">
      <c r="A11" s="223"/>
      <c r="B11" s="224"/>
      <c r="C11" s="221"/>
      <c r="D11" s="222"/>
      <c r="E11" s="219"/>
      <c r="F11" s="225"/>
      <c r="G11" s="219"/>
      <c r="H11" s="219"/>
      <c r="I11" s="219"/>
      <c r="J11" s="219"/>
      <c r="K11" s="219"/>
      <c r="L11" s="225"/>
      <c r="M11" s="219"/>
      <c r="N11" s="226"/>
      <c r="O11" s="226"/>
      <c r="P11" s="219"/>
    </row>
    <row r="12" spans="1:16" ht="14.25">
      <c r="A12" s="220" t="s">
        <v>12</v>
      </c>
      <c r="B12" s="224"/>
      <c r="C12" s="221"/>
      <c r="D12" s="222"/>
      <c r="E12" s="219"/>
      <c r="F12" s="225"/>
      <c r="G12" s="219"/>
      <c r="H12" s="219"/>
      <c r="I12" s="219"/>
      <c r="J12" s="219"/>
      <c r="K12" s="219"/>
      <c r="L12" s="576" t="s">
        <v>13</v>
      </c>
      <c r="M12" s="576"/>
      <c r="N12" s="576"/>
      <c r="O12" s="583">
        <f>P395</f>
        <v>0</v>
      </c>
      <c r="P12" s="583"/>
    </row>
    <row r="13" spans="1:16" ht="14.25">
      <c r="A13" s="220" t="s">
        <v>168</v>
      </c>
      <c r="B13" s="224"/>
      <c r="C13" s="221"/>
      <c r="D13" s="222"/>
      <c r="E13" s="219"/>
      <c r="F13" s="225"/>
      <c r="G13" s="219"/>
      <c r="H13" s="219"/>
      <c r="I13" s="219"/>
      <c r="J13" s="219"/>
      <c r="K13" s="219"/>
      <c r="L13" s="216" t="str">
        <f>'O1'!B16</f>
        <v>Tāme sastādīta: 2013. gada 18. martā</v>
      </c>
      <c r="M13" s="219"/>
      <c r="N13" s="226"/>
      <c r="O13" s="226"/>
      <c r="P13" s="219"/>
    </row>
    <row r="14" spans="1:16">
      <c r="A14" s="223"/>
      <c r="B14" s="224"/>
      <c r="C14" s="221"/>
      <c r="D14" s="222"/>
      <c r="E14" s="219"/>
      <c r="F14" s="225"/>
      <c r="G14" s="219"/>
      <c r="H14" s="219"/>
      <c r="I14" s="219"/>
      <c r="J14" s="219"/>
      <c r="K14" s="219"/>
      <c r="L14" s="225"/>
      <c r="M14" s="219"/>
      <c r="N14" s="226"/>
      <c r="O14" s="219"/>
      <c r="P14" s="219"/>
    </row>
    <row r="15" spans="1:16" ht="12" thickBot="1">
      <c r="A15" s="227"/>
      <c r="B15" s="224"/>
      <c r="C15" s="218"/>
      <c r="D15" s="219"/>
      <c r="E15" s="219"/>
      <c r="F15" s="219"/>
      <c r="G15" s="219"/>
      <c r="H15" s="219"/>
      <c r="I15" s="219"/>
      <c r="J15" s="219"/>
      <c r="K15" s="219"/>
      <c r="L15" s="225"/>
      <c r="M15" s="219"/>
      <c r="N15" s="219"/>
      <c r="O15" s="219"/>
      <c r="P15" s="219"/>
    </row>
    <row r="16" spans="1:16">
      <c r="A16" s="593" t="s">
        <v>14</v>
      </c>
      <c r="B16" s="595" t="s">
        <v>15</v>
      </c>
      <c r="C16" s="572" t="s">
        <v>16</v>
      </c>
      <c r="D16" s="574" t="s">
        <v>3</v>
      </c>
      <c r="E16" s="577" t="s">
        <v>4</v>
      </c>
      <c r="F16" s="579" t="s">
        <v>17</v>
      </c>
      <c r="G16" s="580"/>
      <c r="H16" s="580"/>
      <c r="I16" s="580"/>
      <c r="J16" s="580"/>
      <c r="K16" s="581"/>
      <c r="L16" s="582" t="s">
        <v>18</v>
      </c>
      <c r="M16" s="580"/>
      <c r="N16" s="580"/>
      <c r="O16" s="580"/>
      <c r="P16" s="581"/>
    </row>
    <row r="17" spans="1:16" ht="77.25" customHeight="1" thickBot="1">
      <c r="A17" s="594"/>
      <c r="B17" s="596"/>
      <c r="C17" s="573"/>
      <c r="D17" s="575"/>
      <c r="E17" s="578"/>
      <c r="F17" s="333" t="s">
        <v>19</v>
      </c>
      <c r="G17" s="319" t="s">
        <v>20</v>
      </c>
      <c r="H17" s="319" t="s">
        <v>21</v>
      </c>
      <c r="I17" s="319" t="s">
        <v>22</v>
      </c>
      <c r="J17" s="319" t="s">
        <v>23</v>
      </c>
      <c r="K17" s="320" t="s">
        <v>24</v>
      </c>
      <c r="L17" s="321" t="s">
        <v>25</v>
      </c>
      <c r="M17" s="319" t="s">
        <v>21</v>
      </c>
      <c r="N17" s="319" t="s">
        <v>22</v>
      </c>
      <c r="O17" s="319" t="s">
        <v>23</v>
      </c>
      <c r="P17" s="320" t="s">
        <v>26</v>
      </c>
    </row>
    <row r="18" spans="1:16">
      <c r="A18" s="348"/>
      <c r="B18" s="349"/>
      <c r="C18" s="334" t="s">
        <v>204</v>
      </c>
      <c r="D18" s="350"/>
      <c r="E18" s="351"/>
      <c r="F18" s="352"/>
      <c r="G18" s="353"/>
      <c r="H18" s="353"/>
      <c r="I18" s="353"/>
      <c r="J18" s="353"/>
      <c r="K18" s="354"/>
      <c r="L18" s="355"/>
      <c r="M18" s="353"/>
      <c r="N18" s="353"/>
      <c r="O18" s="356"/>
      <c r="P18" s="357"/>
    </row>
    <row r="19" spans="1:16">
      <c r="A19" s="230">
        <v>1</v>
      </c>
      <c r="B19" s="185" t="s">
        <v>27</v>
      </c>
      <c r="C19" s="358" t="s">
        <v>205</v>
      </c>
      <c r="D19" s="186" t="s">
        <v>75</v>
      </c>
      <c r="E19" s="359">
        <v>5.72</v>
      </c>
      <c r="F19" s="360"/>
      <c r="G19" s="183"/>
      <c r="H19" s="188"/>
      <c r="I19" s="188"/>
      <c r="J19" s="183"/>
      <c r="K19" s="207"/>
      <c r="L19" s="208"/>
      <c r="M19" s="188"/>
      <c r="N19" s="188"/>
      <c r="O19" s="188"/>
      <c r="P19" s="207"/>
    </row>
    <row r="20" spans="1:16">
      <c r="A20" s="230">
        <v>2</v>
      </c>
      <c r="B20" s="206" t="s">
        <v>27</v>
      </c>
      <c r="C20" s="358" t="s">
        <v>206</v>
      </c>
      <c r="D20" s="195" t="s">
        <v>207</v>
      </c>
      <c r="E20" s="246">
        <v>40</v>
      </c>
      <c r="F20" s="197"/>
      <c r="G20" s="188"/>
      <c r="H20" s="188"/>
      <c r="I20" s="188"/>
      <c r="J20" s="188"/>
      <c r="K20" s="207"/>
      <c r="L20" s="208"/>
      <c r="M20" s="188"/>
      <c r="N20" s="188"/>
      <c r="O20" s="188"/>
      <c r="P20" s="207"/>
    </row>
    <row r="21" spans="1:16" ht="22.5">
      <c r="A21" s="230">
        <v>3</v>
      </c>
      <c r="B21" s="361" t="s">
        <v>27</v>
      </c>
      <c r="C21" s="362" t="s">
        <v>208</v>
      </c>
      <c r="D21" s="209" t="s">
        <v>108</v>
      </c>
      <c r="E21" s="363">
        <v>15</v>
      </c>
      <c r="F21" s="187"/>
      <c r="G21" s="188"/>
      <c r="H21" s="183"/>
      <c r="I21" s="183"/>
      <c r="J21" s="188"/>
      <c r="K21" s="189"/>
      <c r="L21" s="190"/>
      <c r="M21" s="183"/>
      <c r="N21" s="183"/>
      <c r="O21" s="183"/>
      <c r="P21" s="189"/>
    </row>
    <row r="22" spans="1:16">
      <c r="A22" s="184"/>
      <c r="B22" s="361"/>
      <c r="C22" s="210" t="s">
        <v>81</v>
      </c>
      <c r="D22" s="209" t="s">
        <v>108</v>
      </c>
      <c r="E22" s="246">
        <f>E21</f>
        <v>15</v>
      </c>
      <c r="F22" s="187"/>
      <c r="G22" s="183"/>
      <c r="H22" s="183"/>
      <c r="I22" s="183"/>
      <c r="J22" s="183"/>
      <c r="K22" s="189"/>
      <c r="L22" s="190"/>
      <c r="M22" s="183"/>
      <c r="N22" s="183"/>
      <c r="O22" s="183"/>
      <c r="P22" s="189"/>
    </row>
    <row r="23" spans="1:16">
      <c r="A23" s="364"/>
      <c r="B23" s="365"/>
      <c r="C23" s="334" t="s">
        <v>322</v>
      </c>
      <c r="D23" s="366"/>
      <c r="E23" s="367"/>
      <c r="F23" s="368"/>
      <c r="G23" s="369"/>
      <c r="H23" s="369"/>
      <c r="I23" s="369"/>
      <c r="J23" s="369"/>
      <c r="K23" s="370"/>
      <c r="L23" s="371"/>
      <c r="M23" s="369"/>
      <c r="N23" s="369"/>
      <c r="O23" s="369"/>
      <c r="P23" s="370"/>
    </row>
    <row r="24" spans="1:16" ht="22.5">
      <c r="A24" s="200">
        <v>1</v>
      </c>
      <c r="B24" s="372" t="s">
        <v>243</v>
      </c>
      <c r="C24" s="373" t="s">
        <v>343</v>
      </c>
      <c r="D24" s="195" t="s">
        <v>77</v>
      </c>
      <c r="E24" s="182">
        <v>118.68</v>
      </c>
      <c r="F24" s="197"/>
      <c r="G24" s="183"/>
      <c r="H24" s="193"/>
      <c r="I24" s="193"/>
      <c r="J24" s="193"/>
      <c r="K24" s="194"/>
      <c r="L24" s="198"/>
      <c r="M24" s="193"/>
      <c r="N24" s="193"/>
      <c r="O24" s="193"/>
      <c r="P24" s="194"/>
    </row>
    <row r="25" spans="1:16">
      <c r="A25" s="200"/>
      <c r="B25" s="192"/>
      <c r="C25" s="196" t="s">
        <v>244</v>
      </c>
      <c r="D25" s="374" t="s">
        <v>1</v>
      </c>
      <c r="E25" s="182">
        <f>0.7*1.1*E24/3</f>
        <v>30.461200000000002</v>
      </c>
      <c r="F25" s="197"/>
      <c r="G25" s="193"/>
      <c r="H25" s="193"/>
      <c r="I25" s="193"/>
      <c r="J25" s="193"/>
      <c r="K25" s="194"/>
      <c r="L25" s="198"/>
      <c r="M25" s="193"/>
      <c r="N25" s="193"/>
      <c r="O25" s="193"/>
      <c r="P25" s="194"/>
    </row>
    <row r="26" spans="1:16">
      <c r="A26" s="200"/>
      <c r="B26" s="192"/>
      <c r="C26" s="196" t="s">
        <v>245</v>
      </c>
      <c r="D26" s="374" t="s">
        <v>1</v>
      </c>
      <c r="E26" s="182">
        <f>E25*10</f>
        <v>304.61200000000002</v>
      </c>
      <c r="F26" s="197"/>
      <c r="G26" s="193"/>
      <c r="H26" s="193"/>
      <c r="I26" s="193"/>
      <c r="J26" s="193"/>
      <c r="K26" s="194"/>
      <c r="L26" s="198"/>
      <c r="M26" s="193"/>
      <c r="N26" s="193"/>
      <c r="O26" s="193"/>
      <c r="P26" s="194"/>
    </row>
    <row r="27" spans="1:16">
      <c r="A27" s="200"/>
      <c r="B27" s="192"/>
      <c r="C27" s="196" t="s">
        <v>246</v>
      </c>
      <c r="D27" s="374" t="s">
        <v>1</v>
      </c>
      <c r="E27" s="182">
        <f>E25*3/30</f>
        <v>3.0461200000000002</v>
      </c>
      <c r="F27" s="197"/>
      <c r="G27" s="193"/>
      <c r="H27" s="193"/>
      <c r="I27" s="193"/>
      <c r="J27" s="193"/>
      <c r="K27" s="194"/>
      <c r="L27" s="198"/>
      <c r="M27" s="193"/>
      <c r="N27" s="193"/>
      <c r="O27" s="193"/>
      <c r="P27" s="194"/>
    </row>
    <row r="28" spans="1:16">
      <c r="A28" s="200"/>
      <c r="B28" s="192"/>
      <c r="C28" s="196" t="s">
        <v>247</v>
      </c>
      <c r="D28" s="374" t="s">
        <v>1</v>
      </c>
      <c r="E28" s="182">
        <f>2*1.1*E24/3</f>
        <v>87.032000000000025</v>
      </c>
      <c r="F28" s="197"/>
      <c r="G28" s="193"/>
      <c r="H28" s="193"/>
      <c r="I28" s="193"/>
      <c r="J28" s="193"/>
      <c r="K28" s="194"/>
      <c r="L28" s="198"/>
      <c r="M28" s="193"/>
      <c r="N28" s="193"/>
      <c r="O28" s="193"/>
      <c r="P28" s="194"/>
    </row>
    <row r="29" spans="1:16">
      <c r="A29" s="200"/>
      <c r="B29" s="192"/>
      <c r="C29" s="196" t="s">
        <v>248</v>
      </c>
      <c r="D29" s="374" t="s">
        <v>1</v>
      </c>
      <c r="E29" s="182">
        <f>E24/10</f>
        <v>11.868</v>
      </c>
      <c r="F29" s="197"/>
      <c r="G29" s="193"/>
      <c r="H29" s="193"/>
      <c r="I29" s="193"/>
      <c r="J29" s="193"/>
      <c r="K29" s="194"/>
      <c r="L29" s="198"/>
      <c r="M29" s="193"/>
      <c r="N29" s="193"/>
      <c r="O29" s="193"/>
      <c r="P29" s="194"/>
    </row>
    <row r="30" spans="1:16">
      <c r="A30" s="200"/>
      <c r="B30" s="192"/>
      <c r="C30" s="196" t="s">
        <v>249</v>
      </c>
      <c r="D30" s="374" t="s">
        <v>1</v>
      </c>
      <c r="E30" s="363">
        <f>E28*0.7*1.1</f>
        <v>67.014640000000014</v>
      </c>
      <c r="F30" s="197"/>
      <c r="G30" s="193"/>
      <c r="H30" s="193"/>
      <c r="I30" s="195"/>
      <c r="J30" s="193"/>
      <c r="K30" s="194"/>
      <c r="L30" s="198"/>
      <c r="M30" s="193"/>
      <c r="N30" s="193"/>
      <c r="O30" s="193"/>
      <c r="P30" s="194"/>
    </row>
    <row r="31" spans="1:16">
      <c r="A31" s="200"/>
      <c r="B31" s="192"/>
      <c r="C31" s="196" t="s">
        <v>245</v>
      </c>
      <c r="D31" s="374" t="s">
        <v>1</v>
      </c>
      <c r="E31" s="182">
        <f>E30*2</f>
        <v>134.02928000000003</v>
      </c>
      <c r="F31" s="197"/>
      <c r="G31" s="193"/>
      <c r="H31" s="193"/>
      <c r="I31" s="193"/>
      <c r="J31" s="193"/>
      <c r="K31" s="194"/>
      <c r="L31" s="198"/>
      <c r="M31" s="193"/>
      <c r="N31" s="193"/>
      <c r="O31" s="193"/>
      <c r="P31" s="194"/>
    </row>
    <row r="32" spans="1:16" ht="22.5">
      <c r="A32" s="200"/>
      <c r="B32" s="192"/>
      <c r="C32" s="211" t="s">
        <v>250</v>
      </c>
      <c r="D32" s="195" t="s">
        <v>175</v>
      </c>
      <c r="E32" s="182">
        <f>6*E24/100</f>
        <v>7.1208</v>
      </c>
      <c r="F32" s="197"/>
      <c r="G32" s="193"/>
      <c r="H32" s="193"/>
      <c r="I32" s="193"/>
      <c r="J32" s="193"/>
      <c r="K32" s="194"/>
      <c r="L32" s="198"/>
      <c r="M32" s="193"/>
      <c r="N32" s="193"/>
      <c r="O32" s="193"/>
      <c r="P32" s="194"/>
    </row>
    <row r="33" spans="1:16" ht="22.5">
      <c r="A33" s="200"/>
      <c r="B33" s="192"/>
      <c r="C33" s="211" t="s">
        <v>251</v>
      </c>
      <c r="D33" s="195" t="s">
        <v>1</v>
      </c>
      <c r="E33" s="182">
        <f>1*E24</f>
        <v>118.68</v>
      </c>
      <c r="F33" s="197"/>
      <c r="G33" s="193"/>
      <c r="H33" s="193"/>
      <c r="I33" s="195"/>
      <c r="J33" s="193"/>
      <c r="K33" s="194"/>
      <c r="L33" s="198"/>
      <c r="M33" s="193"/>
      <c r="N33" s="193"/>
      <c r="O33" s="193"/>
      <c r="P33" s="194"/>
    </row>
    <row r="34" spans="1:16" ht="22.5">
      <c r="A34" s="200"/>
      <c r="B34" s="192"/>
      <c r="C34" s="211" t="s">
        <v>250</v>
      </c>
      <c r="D34" s="195" t="s">
        <v>175</v>
      </c>
      <c r="E34" s="182">
        <f>4*E33/100</f>
        <v>4.7472000000000003</v>
      </c>
      <c r="F34" s="197"/>
      <c r="G34" s="193"/>
      <c r="H34" s="193"/>
      <c r="I34" s="193"/>
      <c r="J34" s="193"/>
      <c r="K34" s="194"/>
      <c r="L34" s="198"/>
      <c r="M34" s="193"/>
      <c r="N34" s="193"/>
      <c r="O34" s="193"/>
      <c r="P34" s="194"/>
    </row>
    <row r="35" spans="1:16" ht="22.5">
      <c r="A35" s="200"/>
      <c r="B35" s="192"/>
      <c r="C35" s="211" t="s">
        <v>252</v>
      </c>
      <c r="D35" s="195" t="s">
        <v>219</v>
      </c>
      <c r="E35" s="182">
        <f>((E24*1.1)/3.6)</f>
        <v>36.263333333333343</v>
      </c>
      <c r="F35" s="197"/>
      <c r="G35" s="193"/>
      <c r="H35" s="193"/>
      <c r="I35" s="193"/>
      <c r="J35" s="193"/>
      <c r="K35" s="194"/>
      <c r="L35" s="198"/>
      <c r="M35" s="193"/>
      <c r="N35" s="193"/>
      <c r="O35" s="193"/>
      <c r="P35" s="194"/>
    </row>
    <row r="36" spans="1:16" ht="22.5">
      <c r="A36" s="200"/>
      <c r="B36" s="192"/>
      <c r="C36" s="211" t="s">
        <v>253</v>
      </c>
      <c r="D36" s="195" t="s">
        <v>254</v>
      </c>
      <c r="E36" s="182">
        <f>24*E24/100</f>
        <v>28.4832</v>
      </c>
      <c r="F36" s="197"/>
      <c r="G36" s="193"/>
      <c r="H36" s="193"/>
      <c r="I36" s="193"/>
      <c r="J36" s="193"/>
      <c r="K36" s="194"/>
      <c r="L36" s="198"/>
      <c r="M36" s="193"/>
      <c r="N36" s="193"/>
      <c r="O36" s="193"/>
      <c r="P36" s="194"/>
    </row>
    <row r="37" spans="1:16" ht="22.5">
      <c r="A37" s="200"/>
      <c r="B37" s="192"/>
      <c r="C37" s="211" t="s">
        <v>255</v>
      </c>
      <c r="D37" s="195" t="s">
        <v>1</v>
      </c>
      <c r="E37" s="182">
        <f>(E24*1*1.1)/90</f>
        <v>1.4505333333333337</v>
      </c>
      <c r="F37" s="197"/>
      <c r="G37" s="193"/>
      <c r="H37" s="193"/>
      <c r="I37" s="193"/>
      <c r="J37" s="193"/>
      <c r="K37" s="194"/>
      <c r="L37" s="198"/>
      <c r="M37" s="193"/>
      <c r="N37" s="193"/>
      <c r="O37" s="193"/>
      <c r="P37" s="194"/>
    </row>
    <row r="38" spans="1:16">
      <c r="A38" s="200"/>
      <c r="B38" s="192"/>
      <c r="C38" s="196" t="s">
        <v>222</v>
      </c>
      <c r="D38" s="195" t="s">
        <v>1</v>
      </c>
      <c r="E38" s="182">
        <f>(E24*0.3*1.1)/25</f>
        <v>1.566576</v>
      </c>
      <c r="F38" s="197"/>
      <c r="G38" s="193"/>
      <c r="H38" s="193"/>
      <c r="I38" s="193"/>
      <c r="J38" s="193"/>
      <c r="K38" s="194"/>
      <c r="L38" s="198"/>
      <c r="M38" s="193"/>
      <c r="N38" s="193"/>
      <c r="O38" s="193"/>
      <c r="P38" s="194"/>
    </row>
    <row r="39" spans="1:16" ht="22.5">
      <c r="A39" s="375">
        <v>2</v>
      </c>
      <c r="B39" s="361" t="s">
        <v>180</v>
      </c>
      <c r="C39" s="376" t="s">
        <v>352</v>
      </c>
      <c r="D39" s="195" t="s">
        <v>80</v>
      </c>
      <c r="E39" s="336">
        <v>5.09</v>
      </c>
      <c r="F39" s="187"/>
      <c r="G39" s="193"/>
      <c r="H39" s="183"/>
      <c r="I39" s="183"/>
      <c r="J39" s="183"/>
      <c r="K39" s="189"/>
      <c r="L39" s="377"/>
      <c r="M39" s="378"/>
      <c r="N39" s="378"/>
      <c r="O39" s="378"/>
      <c r="P39" s="379"/>
    </row>
    <row r="40" spans="1:16">
      <c r="A40" s="375"/>
      <c r="B40" s="209"/>
      <c r="C40" s="210" t="s">
        <v>353</v>
      </c>
      <c r="D40" s="209" t="s">
        <v>100</v>
      </c>
      <c r="E40" s="363">
        <f>E39*0.98</f>
        <v>4.9882</v>
      </c>
      <c r="F40" s="187"/>
      <c r="G40" s="183"/>
      <c r="H40" s="183"/>
      <c r="I40" s="183"/>
      <c r="J40" s="183"/>
      <c r="K40" s="189"/>
      <c r="L40" s="377"/>
      <c r="M40" s="378"/>
      <c r="N40" s="378"/>
      <c r="O40" s="378"/>
      <c r="P40" s="379"/>
    </row>
    <row r="41" spans="1:16">
      <c r="A41" s="375"/>
      <c r="B41" s="209"/>
      <c r="C41" s="380" t="s">
        <v>344</v>
      </c>
      <c r="D41" s="209" t="s">
        <v>76</v>
      </c>
      <c r="E41" s="381">
        <f>E40*0.75*2/(0.2*4)</f>
        <v>9.3528749999999992</v>
      </c>
      <c r="F41" s="187"/>
      <c r="G41" s="183"/>
      <c r="H41" s="183"/>
      <c r="I41" s="183"/>
      <c r="J41" s="183"/>
      <c r="K41" s="189"/>
      <c r="L41" s="377"/>
      <c r="M41" s="378"/>
      <c r="N41" s="378"/>
      <c r="O41" s="378"/>
      <c r="P41" s="379"/>
    </row>
    <row r="42" spans="1:16">
      <c r="A42" s="184"/>
      <c r="B42" s="185"/>
      <c r="C42" s="247" t="s">
        <v>181</v>
      </c>
      <c r="D42" s="209" t="s">
        <v>100</v>
      </c>
      <c r="E42" s="363">
        <f>0.04*E40</f>
        <v>0.19952800000000001</v>
      </c>
      <c r="F42" s="187"/>
      <c r="G42" s="183"/>
      <c r="H42" s="183"/>
      <c r="I42" s="183"/>
      <c r="J42" s="183"/>
      <c r="K42" s="189"/>
      <c r="L42" s="377"/>
      <c r="M42" s="378"/>
      <c r="N42" s="378"/>
      <c r="O42" s="378"/>
      <c r="P42" s="379"/>
    </row>
    <row r="43" spans="1:16" ht="22.5">
      <c r="A43" s="375">
        <v>3</v>
      </c>
      <c r="B43" s="361" t="s">
        <v>223</v>
      </c>
      <c r="C43" s="362" t="s">
        <v>224</v>
      </c>
      <c r="D43" s="209" t="s">
        <v>77</v>
      </c>
      <c r="E43" s="182">
        <v>155.24</v>
      </c>
      <c r="F43" s="187"/>
      <c r="G43" s="188"/>
      <c r="H43" s="183"/>
      <c r="I43" s="183"/>
      <c r="J43" s="183"/>
      <c r="K43" s="189"/>
      <c r="L43" s="190"/>
      <c r="M43" s="183"/>
      <c r="N43" s="183"/>
      <c r="O43" s="183"/>
      <c r="P43" s="189"/>
    </row>
    <row r="44" spans="1:16" ht="22.5">
      <c r="A44" s="375"/>
      <c r="B44" s="361"/>
      <c r="C44" s="247" t="s">
        <v>225</v>
      </c>
      <c r="D44" s="209" t="s">
        <v>76</v>
      </c>
      <c r="E44" s="246">
        <f>E43*0.2/20</f>
        <v>1.5524</v>
      </c>
      <c r="F44" s="187"/>
      <c r="G44" s="183"/>
      <c r="H44" s="183"/>
      <c r="I44" s="183"/>
      <c r="J44" s="183"/>
      <c r="K44" s="189"/>
      <c r="L44" s="190"/>
      <c r="M44" s="183"/>
      <c r="N44" s="183"/>
      <c r="O44" s="183"/>
      <c r="P44" s="189"/>
    </row>
    <row r="45" spans="1:16" ht="22.5">
      <c r="A45" s="375"/>
      <c r="B45" s="361"/>
      <c r="C45" s="247" t="s">
        <v>226</v>
      </c>
      <c r="D45" s="209" t="s">
        <v>76</v>
      </c>
      <c r="E45" s="363">
        <f>E43*22/40</f>
        <v>85.382000000000005</v>
      </c>
      <c r="F45" s="187"/>
      <c r="G45" s="183"/>
      <c r="H45" s="183"/>
      <c r="I45" s="183"/>
      <c r="J45" s="183"/>
      <c r="K45" s="189"/>
      <c r="L45" s="190"/>
      <c r="M45" s="183"/>
      <c r="N45" s="183"/>
      <c r="O45" s="183"/>
      <c r="P45" s="189"/>
    </row>
    <row r="46" spans="1:16">
      <c r="A46" s="382">
        <v>4</v>
      </c>
      <c r="B46" s="206" t="s">
        <v>27</v>
      </c>
      <c r="C46" s="383" t="s">
        <v>227</v>
      </c>
      <c r="D46" s="209" t="s">
        <v>75</v>
      </c>
      <c r="E46" s="246">
        <v>273.92</v>
      </c>
      <c r="F46" s="384"/>
      <c r="G46" s="188"/>
      <c r="H46" s="188"/>
      <c r="I46" s="188"/>
      <c r="J46" s="188"/>
      <c r="K46" s="207"/>
      <c r="L46" s="208"/>
      <c r="M46" s="188"/>
      <c r="N46" s="188"/>
      <c r="O46" s="188"/>
      <c r="P46" s="207"/>
    </row>
    <row r="47" spans="1:16">
      <c r="A47" s="382"/>
      <c r="B47" s="385"/>
      <c r="C47" s="210" t="s">
        <v>89</v>
      </c>
      <c r="D47" s="209" t="s">
        <v>1</v>
      </c>
      <c r="E47" s="246">
        <f>1*E46/25</f>
        <v>10.956800000000001</v>
      </c>
      <c r="F47" s="384"/>
      <c r="G47" s="188"/>
      <c r="H47" s="188"/>
      <c r="I47" s="183"/>
      <c r="J47" s="188"/>
      <c r="K47" s="207"/>
      <c r="L47" s="208"/>
      <c r="M47" s="188"/>
      <c r="N47" s="188"/>
      <c r="O47" s="188"/>
      <c r="P47" s="207"/>
    </row>
    <row r="48" spans="1:16" ht="22.5">
      <c r="A48" s="382"/>
      <c r="B48" s="385"/>
      <c r="C48" s="247" t="s">
        <v>90</v>
      </c>
      <c r="D48" s="209" t="s">
        <v>1</v>
      </c>
      <c r="E48" s="246">
        <f>0.5*E46/28</f>
        <v>4.8914285714285715</v>
      </c>
      <c r="F48" s="384"/>
      <c r="G48" s="188"/>
      <c r="H48" s="188"/>
      <c r="I48" s="183"/>
      <c r="J48" s="188"/>
      <c r="K48" s="207"/>
      <c r="L48" s="208"/>
      <c r="M48" s="188"/>
      <c r="N48" s="188"/>
      <c r="O48" s="188"/>
      <c r="P48" s="207"/>
    </row>
    <row r="49" spans="1:16">
      <c r="A49" s="382"/>
      <c r="B49" s="385"/>
      <c r="C49" s="210" t="s">
        <v>91</v>
      </c>
      <c r="D49" s="209" t="s">
        <v>1</v>
      </c>
      <c r="E49" s="246">
        <f>0.15*E46/15</f>
        <v>2.7391999999999999</v>
      </c>
      <c r="F49" s="384"/>
      <c r="G49" s="188"/>
      <c r="H49" s="188"/>
      <c r="I49" s="183"/>
      <c r="J49" s="188"/>
      <c r="K49" s="207"/>
      <c r="L49" s="208"/>
      <c r="M49" s="188"/>
      <c r="N49" s="188"/>
      <c r="O49" s="188"/>
      <c r="P49" s="207"/>
    </row>
    <row r="50" spans="1:16">
      <c r="A50" s="382"/>
      <c r="B50" s="385"/>
      <c r="C50" s="210" t="s">
        <v>92</v>
      </c>
      <c r="D50" s="209" t="s">
        <v>1</v>
      </c>
      <c r="E50" s="246">
        <f>E46*0.3/3</f>
        <v>27.391999999999999</v>
      </c>
      <c r="F50" s="384"/>
      <c r="G50" s="188"/>
      <c r="H50" s="188"/>
      <c r="I50" s="183"/>
      <c r="J50" s="188"/>
      <c r="K50" s="207"/>
      <c r="L50" s="208"/>
      <c r="M50" s="188"/>
      <c r="N50" s="188"/>
      <c r="O50" s="188"/>
      <c r="P50" s="207"/>
    </row>
    <row r="51" spans="1:16">
      <c r="A51" s="382"/>
      <c r="B51" s="385"/>
      <c r="C51" s="210" t="s">
        <v>93</v>
      </c>
      <c r="D51" s="209" t="s">
        <v>2</v>
      </c>
      <c r="E51" s="246">
        <f>0.015*E46</f>
        <v>4.1088000000000005</v>
      </c>
      <c r="F51" s="384"/>
      <c r="G51" s="188"/>
      <c r="H51" s="188"/>
      <c r="I51" s="183"/>
      <c r="J51" s="188"/>
      <c r="K51" s="207"/>
      <c r="L51" s="208"/>
      <c r="M51" s="188"/>
      <c r="N51" s="188"/>
      <c r="O51" s="188"/>
      <c r="P51" s="207"/>
    </row>
    <row r="52" spans="1:16">
      <c r="A52" s="382">
        <v>5</v>
      </c>
      <c r="B52" s="206" t="s">
        <v>27</v>
      </c>
      <c r="C52" s="386" t="s">
        <v>228</v>
      </c>
      <c r="D52" s="209" t="s">
        <v>75</v>
      </c>
      <c r="E52" s="246">
        <v>273.92</v>
      </c>
      <c r="F52" s="384"/>
      <c r="G52" s="188"/>
      <c r="H52" s="188"/>
      <c r="I52" s="188"/>
      <c r="J52" s="188"/>
      <c r="K52" s="207"/>
      <c r="L52" s="208"/>
      <c r="M52" s="188"/>
      <c r="N52" s="188"/>
      <c r="O52" s="188"/>
      <c r="P52" s="207"/>
    </row>
    <row r="53" spans="1:16" ht="22.5">
      <c r="A53" s="382"/>
      <c r="B53" s="385"/>
      <c r="C53" s="247" t="s">
        <v>94</v>
      </c>
      <c r="D53" s="209" t="s">
        <v>95</v>
      </c>
      <c r="E53" s="363">
        <f>0.05*E52</f>
        <v>13.696000000000002</v>
      </c>
      <c r="F53" s="384"/>
      <c r="G53" s="188"/>
      <c r="H53" s="188"/>
      <c r="I53" s="183"/>
      <c r="J53" s="188"/>
      <c r="K53" s="207"/>
      <c r="L53" s="208"/>
      <c r="M53" s="188"/>
      <c r="N53" s="188"/>
      <c r="O53" s="188"/>
      <c r="P53" s="207"/>
    </row>
    <row r="54" spans="1:16">
      <c r="A54" s="382"/>
      <c r="B54" s="385"/>
      <c r="C54" s="210" t="s">
        <v>96</v>
      </c>
      <c r="D54" s="209" t="s">
        <v>1</v>
      </c>
      <c r="E54" s="246">
        <f>E52*0.03</f>
        <v>8.2176000000000009</v>
      </c>
      <c r="F54" s="384"/>
      <c r="G54" s="188"/>
      <c r="H54" s="188"/>
      <c r="I54" s="183"/>
      <c r="J54" s="188"/>
      <c r="K54" s="207"/>
      <c r="L54" s="208"/>
      <c r="M54" s="188"/>
      <c r="N54" s="188"/>
      <c r="O54" s="188"/>
      <c r="P54" s="207"/>
    </row>
    <row r="55" spans="1:16" ht="22.5">
      <c r="A55" s="382"/>
      <c r="B55" s="385"/>
      <c r="C55" s="387" t="s">
        <v>229</v>
      </c>
      <c r="D55" s="388" t="s">
        <v>76</v>
      </c>
      <c r="E55" s="363">
        <f>0.15*E52/9</f>
        <v>4.5653333333333332</v>
      </c>
      <c r="F55" s="384"/>
      <c r="G55" s="188"/>
      <c r="H55" s="188"/>
      <c r="I55" s="183"/>
      <c r="J55" s="188"/>
      <c r="K55" s="207"/>
      <c r="L55" s="208"/>
      <c r="M55" s="188"/>
      <c r="N55" s="188"/>
      <c r="O55" s="188"/>
      <c r="P55" s="207"/>
    </row>
    <row r="56" spans="1:16">
      <c r="A56" s="382"/>
      <c r="B56" s="385"/>
      <c r="C56" s="389" t="s">
        <v>97</v>
      </c>
      <c r="D56" s="209" t="s">
        <v>1</v>
      </c>
      <c r="E56" s="246">
        <f>0.2*E52/9</f>
        <v>6.0871111111111116</v>
      </c>
      <c r="F56" s="384"/>
      <c r="G56" s="188"/>
      <c r="H56" s="188"/>
      <c r="I56" s="183"/>
      <c r="J56" s="188"/>
      <c r="K56" s="207"/>
      <c r="L56" s="208"/>
      <c r="M56" s="188"/>
      <c r="N56" s="188"/>
      <c r="O56" s="188"/>
      <c r="P56" s="207"/>
    </row>
    <row r="57" spans="1:16">
      <c r="A57" s="200">
        <v>6</v>
      </c>
      <c r="B57" s="390" t="s">
        <v>230</v>
      </c>
      <c r="C57" s="391" t="s">
        <v>231</v>
      </c>
      <c r="D57" s="392" t="s">
        <v>75</v>
      </c>
      <c r="E57" s="393">
        <v>45.2</v>
      </c>
      <c r="F57" s="394"/>
      <c r="G57" s="395"/>
      <c r="H57" s="396"/>
      <c r="I57" s="396"/>
      <c r="J57" s="188"/>
      <c r="K57" s="397"/>
      <c r="L57" s="398"/>
      <c r="M57" s="396"/>
      <c r="N57" s="396"/>
      <c r="O57" s="396"/>
      <c r="P57" s="397"/>
    </row>
    <row r="58" spans="1:16">
      <c r="A58" s="191"/>
      <c r="B58" s="141"/>
      <c r="C58" s="196" t="s">
        <v>232</v>
      </c>
      <c r="D58" s="399" t="s">
        <v>1</v>
      </c>
      <c r="E58" s="393">
        <f>0.5*E57/5</f>
        <v>4.5200000000000005</v>
      </c>
      <c r="F58" s="394"/>
      <c r="G58" s="396"/>
      <c r="H58" s="396"/>
      <c r="I58" s="396"/>
      <c r="J58" s="188"/>
      <c r="K58" s="397"/>
      <c r="L58" s="398"/>
      <c r="M58" s="396"/>
      <c r="N58" s="396"/>
      <c r="O58" s="396"/>
      <c r="P58" s="397"/>
    </row>
    <row r="59" spans="1:16">
      <c r="A59" s="191"/>
      <c r="B59" s="141"/>
      <c r="C59" s="196" t="s">
        <v>233</v>
      </c>
      <c r="D59" s="399" t="s">
        <v>1</v>
      </c>
      <c r="E59" s="393">
        <v>1</v>
      </c>
      <c r="F59" s="394"/>
      <c r="G59" s="396"/>
      <c r="H59" s="396"/>
      <c r="I59" s="396"/>
      <c r="J59" s="188"/>
      <c r="K59" s="397"/>
      <c r="L59" s="398"/>
      <c r="M59" s="396"/>
      <c r="N59" s="396"/>
      <c r="O59" s="396"/>
      <c r="P59" s="397"/>
    </row>
    <row r="60" spans="1:16">
      <c r="A60" s="200">
        <v>7</v>
      </c>
      <c r="B60" s="192" t="s">
        <v>234</v>
      </c>
      <c r="C60" s="391" t="s">
        <v>235</v>
      </c>
      <c r="D60" s="399" t="s">
        <v>75</v>
      </c>
      <c r="E60" s="393">
        <v>45.2</v>
      </c>
      <c r="F60" s="394"/>
      <c r="G60" s="400"/>
      <c r="H60" s="396"/>
      <c r="I60" s="396"/>
      <c r="J60" s="188"/>
      <c r="K60" s="397"/>
      <c r="L60" s="398"/>
      <c r="M60" s="396"/>
      <c r="N60" s="396"/>
      <c r="O60" s="396"/>
      <c r="P60" s="397"/>
    </row>
    <row r="61" spans="1:16">
      <c r="A61" s="312"/>
      <c r="B61" s="391"/>
      <c r="C61" s="196" t="s">
        <v>236</v>
      </c>
      <c r="D61" s="399" t="s">
        <v>75</v>
      </c>
      <c r="E61" s="393">
        <f>E60*1.1</f>
        <v>49.720000000000006</v>
      </c>
      <c r="F61" s="394"/>
      <c r="G61" s="396"/>
      <c r="H61" s="396"/>
      <c r="I61" s="396"/>
      <c r="J61" s="188"/>
      <c r="K61" s="397"/>
      <c r="L61" s="398"/>
      <c r="M61" s="396"/>
      <c r="N61" s="396"/>
      <c r="O61" s="396"/>
      <c r="P61" s="397"/>
    </row>
    <row r="62" spans="1:16">
      <c r="A62" s="200"/>
      <c r="B62" s="192"/>
      <c r="C62" s="196" t="s">
        <v>237</v>
      </c>
      <c r="D62" s="399" t="s">
        <v>76</v>
      </c>
      <c r="E62" s="393">
        <f>(E60*4)/25</f>
        <v>7.2320000000000002</v>
      </c>
      <c r="F62" s="394"/>
      <c r="G62" s="396"/>
      <c r="H62" s="396"/>
      <c r="I62" s="396"/>
      <c r="J62" s="188"/>
      <c r="K62" s="397"/>
      <c r="L62" s="398"/>
      <c r="M62" s="396"/>
      <c r="N62" s="396"/>
      <c r="O62" s="396"/>
      <c r="P62" s="397"/>
    </row>
    <row r="63" spans="1:16">
      <c r="A63" s="200"/>
      <c r="B63" s="192"/>
      <c r="C63" s="196" t="s">
        <v>238</v>
      </c>
      <c r="D63" s="399" t="s">
        <v>76</v>
      </c>
      <c r="E63" s="393">
        <f>(E60*0.4)/2</f>
        <v>9.0400000000000009</v>
      </c>
      <c r="F63" s="394"/>
      <c r="G63" s="396"/>
      <c r="H63" s="396"/>
      <c r="I63" s="396"/>
      <c r="J63" s="188"/>
      <c r="K63" s="397"/>
      <c r="L63" s="398"/>
      <c r="M63" s="396"/>
      <c r="N63" s="396"/>
      <c r="O63" s="396"/>
      <c r="P63" s="397"/>
    </row>
    <row r="64" spans="1:16">
      <c r="A64" s="200"/>
      <c r="B64" s="192"/>
      <c r="C64" s="196" t="s">
        <v>239</v>
      </c>
      <c r="D64" s="399" t="s">
        <v>76</v>
      </c>
      <c r="E64" s="393">
        <f>0.5*E60</f>
        <v>22.6</v>
      </c>
      <c r="F64" s="394"/>
      <c r="G64" s="396"/>
      <c r="H64" s="396"/>
      <c r="I64" s="396"/>
      <c r="J64" s="188"/>
      <c r="K64" s="397"/>
      <c r="L64" s="398"/>
      <c r="M64" s="396"/>
      <c r="N64" s="396"/>
      <c r="O64" s="396"/>
      <c r="P64" s="397"/>
    </row>
    <row r="65" spans="1:16">
      <c r="A65" s="200"/>
      <c r="B65" s="192"/>
      <c r="C65" s="401" t="s">
        <v>146</v>
      </c>
      <c r="D65" s="402" t="s">
        <v>76</v>
      </c>
      <c r="E65" s="403">
        <v>1</v>
      </c>
      <c r="F65" s="394"/>
      <c r="G65" s="396"/>
      <c r="H65" s="396"/>
      <c r="I65" s="396"/>
      <c r="J65" s="188"/>
      <c r="K65" s="397"/>
      <c r="L65" s="398"/>
      <c r="M65" s="396"/>
      <c r="N65" s="396"/>
      <c r="O65" s="396"/>
      <c r="P65" s="397"/>
    </row>
    <row r="66" spans="1:16">
      <c r="A66" s="364"/>
      <c r="B66" s="365"/>
      <c r="C66" s="334" t="s">
        <v>323</v>
      </c>
      <c r="D66" s="366"/>
      <c r="E66" s="367"/>
      <c r="F66" s="368"/>
      <c r="G66" s="369"/>
      <c r="H66" s="369"/>
      <c r="I66" s="369"/>
      <c r="J66" s="369"/>
      <c r="K66" s="370"/>
      <c r="L66" s="371"/>
      <c r="M66" s="369"/>
      <c r="N66" s="369"/>
      <c r="O66" s="369"/>
      <c r="P66" s="370"/>
    </row>
    <row r="67" spans="1:16" ht="11.25" customHeight="1">
      <c r="A67" s="200">
        <v>1</v>
      </c>
      <c r="B67" s="192" t="s">
        <v>240</v>
      </c>
      <c r="C67" s="337" t="s">
        <v>324</v>
      </c>
      <c r="D67" s="195" t="s">
        <v>77</v>
      </c>
      <c r="E67" s="182">
        <v>100.182</v>
      </c>
      <c r="F67" s="197"/>
      <c r="G67" s="183"/>
      <c r="H67" s="193"/>
      <c r="I67" s="193"/>
      <c r="J67" s="193"/>
      <c r="K67" s="194"/>
      <c r="L67" s="198"/>
      <c r="M67" s="193"/>
      <c r="N67" s="193"/>
      <c r="O67" s="193"/>
      <c r="P67" s="194"/>
    </row>
    <row r="68" spans="1:16">
      <c r="A68" s="200"/>
      <c r="B68" s="192"/>
      <c r="C68" s="196" t="s">
        <v>325</v>
      </c>
      <c r="D68" s="195" t="s">
        <v>75</v>
      </c>
      <c r="E68" s="182">
        <f>E67*1.1</f>
        <v>110.20020000000001</v>
      </c>
      <c r="F68" s="197"/>
      <c r="G68" s="193"/>
      <c r="H68" s="193"/>
      <c r="I68" s="193"/>
      <c r="J68" s="193"/>
      <c r="K68" s="194"/>
      <c r="L68" s="198"/>
      <c r="M68" s="193"/>
      <c r="N68" s="193"/>
      <c r="O68" s="193"/>
      <c r="P68" s="194"/>
    </row>
    <row r="69" spans="1:16">
      <c r="A69" s="184" t="s">
        <v>7</v>
      </c>
      <c r="B69" s="185" t="s">
        <v>169</v>
      </c>
      <c r="C69" s="404" t="s">
        <v>170</v>
      </c>
      <c r="D69" s="209" t="s">
        <v>77</v>
      </c>
      <c r="E69" s="182">
        <v>100.182</v>
      </c>
      <c r="F69" s="187"/>
      <c r="G69" s="183"/>
      <c r="H69" s="183"/>
      <c r="I69" s="183"/>
      <c r="J69" s="183"/>
      <c r="K69" s="189"/>
      <c r="L69" s="190"/>
      <c r="M69" s="183"/>
      <c r="N69" s="183"/>
      <c r="O69" s="183"/>
      <c r="P69" s="189"/>
    </row>
    <row r="70" spans="1:16" ht="33.75">
      <c r="A70" s="184"/>
      <c r="B70" s="185"/>
      <c r="C70" s="247" t="s">
        <v>171</v>
      </c>
      <c r="D70" s="209" t="s">
        <v>242</v>
      </c>
      <c r="E70" s="246">
        <f>E69*1.2/150</f>
        <v>0.80145600000000006</v>
      </c>
      <c r="F70" s="187"/>
      <c r="G70" s="183"/>
      <c r="H70" s="183"/>
      <c r="I70" s="183"/>
      <c r="J70" s="183"/>
      <c r="K70" s="189"/>
      <c r="L70" s="190"/>
      <c r="M70" s="183"/>
      <c r="N70" s="183"/>
      <c r="O70" s="183"/>
      <c r="P70" s="189"/>
    </row>
    <row r="71" spans="1:16" ht="33.75">
      <c r="A71" s="200">
        <v>4</v>
      </c>
      <c r="B71" s="372" t="s">
        <v>243</v>
      </c>
      <c r="C71" s="373" t="s">
        <v>326</v>
      </c>
      <c r="D71" s="195" t="s">
        <v>77</v>
      </c>
      <c r="E71" s="182">
        <v>100.182</v>
      </c>
      <c r="F71" s="197"/>
      <c r="G71" s="193"/>
      <c r="H71" s="193"/>
      <c r="I71" s="193"/>
      <c r="J71" s="193"/>
      <c r="K71" s="194"/>
      <c r="L71" s="198"/>
      <c r="M71" s="193"/>
      <c r="N71" s="193"/>
      <c r="O71" s="193"/>
      <c r="P71" s="194"/>
    </row>
    <row r="72" spans="1:16">
      <c r="A72" s="200"/>
      <c r="B72" s="192"/>
      <c r="C72" s="196" t="s">
        <v>244</v>
      </c>
      <c r="D72" s="374" t="s">
        <v>1</v>
      </c>
      <c r="E72" s="182">
        <f>0.7*1.1*E71/3</f>
        <v>25.713380000000001</v>
      </c>
      <c r="F72" s="197"/>
      <c r="G72" s="193"/>
      <c r="H72" s="193"/>
      <c r="I72" s="193"/>
      <c r="J72" s="193"/>
      <c r="K72" s="194"/>
      <c r="L72" s="198"/>
      <c r="M72" s="193"/>
      <c r="N72" s="193"/>
      <c r="O72" s="193"/>
      <c r="P72" s="194"/>
    </row>
    <row r="73" spans="1:16">
      <c r="A73" s="200"/>
      <c r="B73" s="192"/>
      <c r="C73" s="196" t="s">
        <v>245</v>
      </c>
      <c r="D73" s="374" t="s">
        <v>1</v>
      </c>
      <c r="E73" s="182">
        <f>E72*10</f>
        <v>257.13380000000001</v>
      </c>
      <c r="F73" s="197"/>
      <c r="G73" s="193"/>
      <c r="H73" s="193"/>
      <c r="I73" s="193"/>
      <c r="J73" s="193"/>
      <c r="K73" s="194"/>
      <c r="L73" s="198"/>
      <c r="M73" s="193"/>
      <c r="N73" s="193"/>
      <c r="O73" s="193"/>
      <c r="P73" s="194"/>
    </row>
    <row r="74" spans="1:16">
      <c r="A74" s="200"/>
      <c r="B74" s="192"/>
      <c r="C74" s="196" t="s">
        <v>246</v>
      </c>
      <c r="D74" s="374" t="s">
        <v>1</v>
      </c>
      <c r="E74" s="182">
        <f>E72*3/30</f>
        <v>2.5713379999999999</v>
      </c>
      <c r="F74" s="197"/>
      <c r="G74" s="193"/>
      <c r="H74" s="193"/>
      <c r="I74" s="193"/>
      <c r="J74" s="193"/>
      <c r="K74" s="194"/>
      <c r="L74" s="198"/>
      <c r="M74" s="193"/>
      <c r="N74" s="193"/>
      <c r="O74" s="193"/>
      <c r="P74" s="194"/>
    </row>
    <row r="75" spans="1:16">
      <c r="A75" s="200"/>
      <c r="B75" s="192"/>
      <c r="C75" s="196" t="s">
        <v>247</v>
      </c>
      <c r="D75" s="374" t="s">
        <v>1</v>
      </c>
      <c r="E75" s="182">
        <f>2*1.1*E71/3</f>
        <v>73.466800000000006</v>
      </c>
      <c r="F75" s="197"/>
      <c r="G75" s="193"/>
      <c r="H75" s="193"/>
      <c r="I75" s="193"/>
      <c r="J75" s="193"/>
      <c r="K75" s="194"/>
      <c r="L75" s="198"/>
      <c r="M75" s="193"/>
      <c r="N75" s="193"/>
      <c r="O75" s="193"/>
      <c r="P75" s="194"/>
    </row>
    <row r="76" spans="1:16">
      <c r="A76" s="200"/>
      <c r="B76" s="192"/>
      <c r="C76" s="196" t="s">
        <v>248</v>
      </c>
      <c r="D76" s="374" t="s">
        <v>1</v>
      </c>
      <c r="E76" s="182">
        <f>E71/10</f>
        <v>10.0182</v>
      </c>
      <c r="F76" s="197"/>
      <c r="G76" s="193"/>
      <c r="H76" s="193"/>
      <c r="I76" s="193"/>
      <c r="J76" s="193"/>
      <c r="K76" s="194"/>
      <c r="L76" s="198"/>
      <c r="M76" s="193"/>
      <c r="N76" s="193"/>
      <c r="O76" s="193"/>
      <c r="P76" s="194"/>
    </row>
    <row r="77" spans="1:16">
      <c r="A77" s="200"/>
      <c r="B77" s="192"/>
      <c r="C77" s="196" t="s">
        <v>249</v>
      </c>
      <c r="D77" s="374" t="s">
        <v>1</v>
      </c>
      <c r="E77" s="363">
        <f>E75*0.7*1.1</f>
        <v>56.569436000000003</v>
      </c>
      <c r="F77" s="197"/>
      <c r="G77" s="193"/>
      <c r="H77" s="193"/>
      <c r="I77" s="195"/>
      <c r="J77" s="193"/>
      <c r="K77" s="194"/>
      <c r="L77" s="198"/>
      <c r="M77" s="193"/>
      <c r="N77" s="193"/>
      <c r="O77" s="193"/>
      <c r="P77" s="194"/>
    </row>
    <row r="78" spans="1:16">
      <c r="A78" s="200"/>
      <c r="B78" s="192"/>
      <c r="C78" s="196" t="s">
        <v>245</v>
      </c>
      <c r="D78" s="374" t="s">
        <v>1</v>
      </c>
      <c r="E78" s="182">
        <f>E77*2</f>
        <v>113.13887200000001</v>
      </c>
      <c r="F78" s="197"/>
      <c r="G78" s="193"/>
      <c r="H78" s="193"/>
      <c r="I78" s="193"/>
      <c r="J78" s="193"/>
      <c r="K78" s="194"/>
      <c r="L78" s="198"/>
      <c r="M78" s="193"/>
      <c r="N78" s="193"/>
      <c r="O78" s="193"/>
      <c r="P78" s="194"/>
    </row>
    <row r="79" spans="1:16" ht="22.5">
      <c r="A79" s="200"/>
      <c r="B79" s="192"/>
      <c r="C79" s="211" t="s">
        <v>250</v>
      </c>
      <c r="D79" s="195" t="s">
        <v>175</v>
      </c>
      <c r="E79" s="182">
        <f>6*E71/100</f>
        <v>6.0109199999999996</v>
      </c>
      <c r="F79" s="197"/>
      <c r="G79" s="193"/>
      <c r="H79" s="193"/>
      <c r="I79" s="193"/>
      <c r="J79" s="193"/>
      <c r="K79" s="194"/>
      <c r="L79" s="198"/>
      <c r="M79" s="193"/>
      <c r="N79" s="193"/>
      <c r="O79" s="193"/>
      <c r="P79" s="194"/>
    </row>
    <row r="80" spans="1:16" ht="22.5">
      <c r="A80" s="200"/>
      <c r="B80" s="192"/>
      <c r="C80" s="211" t="s">
        <v>251</v>
      </c>
      <c r="D80" s="195" t="s">
        <v>1</v>
      </c>
      <c r="E80" s="182">
        <f>1*E71</f>
        <v>100.182</v>
      </c>
      <c r="F80" s="197"/>
      <c r="G80" s="193"/>
      <c r="H80" s="193"/>
      <c r="I80" s="195"/>
      <c r="J80" s="193"/>
      <c r="K80" s="194"/>
      <c r="L80" s="198"/>
      <c r="M80" s="193"/>
      <c r="N80" s="193"/>
      <c r="O80" s="193"/>
      <c r="P80" s="194"/>
    </row>
    <row r="81" spans="1:16" ht="22.5">
      <c r="A81" s="200"/>
      <c r="B81" s="192"/>
      <c r="C81" s="211" t="s">
        <v>250</v>
      </c>
      <c r="D81" s="195" t="s">
        <v>175</v>
      </c>
      <c r="E81" s="182">
        <f>4*E80/100</f>
        <v>4.0072799999999997</v>
      </c>
      <c r="F81" s="197"/>
      <c r="G81" s="193"/>
      <c r="H81" s="193"/>
      <c r="I81" s="193"/>
      <c r="J81" s="193"/>
      <c r="K81" s="194"/>
      <c r="L81" s="198"/>
      <c r="M81" s="193"/>
      <c r="N81" s="193"/>
      <c r="O81" s="193"/>
      <c r="P81" s="194"/>
    </row>
    <row r="82" spans="1:16" ht="22.5">
      <c r="A82" s="200"/>
      <c r="B82" s="192"/>
      <c r="C82" s="211" t="s">
        <v>252</v>
      </c>
      <c r="D82" s="195" t="s">
        <v>219</v>
      </c>
      <c r="E82" s="182">
        <f>((E71*1.1)/3.6)</f>
        <v>30.611166666666669</v>
      </c>
      <c r="F82" s="197"/>
      <c r="G82" s="193"/>
      <c r="H82" s="193"/>
      <c r="I82" s="193"/>
      <c r="J82" s="193"/>
      <c r="K82" s="194"/>
      <c r="L82" s="198"/>
      <c r="M82" s="193"/>
      <c r="N82" s="193"/>
      <c r="O82" s="193"/>
      <c r="P82" s="194"/>
    </row>
    <row r="83" spans="1:16" ht="22.5">
      <c r="A83" s="200"/>
      <c r="B83" s="192"/>
      <c r="C83" s="211" t="s">
        <v>253</v>
      </c>
      <c r="D83" s="195" t="s">
        <v>254</v>
      </c>
      <c r="E83" s="182">
        <f>24*E71/100</f>
        <v>24.043679999999998</v>
      </c>
      <c r="F83" s="197"/>
      <c r="G83" s="193"/>
      <c r="H83" s="193"/>
      <c r="I83" s="193"/>
      <c r="J83" s="193"/>
      <c r="K83" s="194"/>
      <c r="L83" s="198"/>
      <c r="M83" s="193"/>
      <c r="N83" s="193"/>
      <c r="O83" s="193"/>
      <c r="P83" s="194"/>
    </row>
    <row r="84" spans="1:16" ht="22.5">
      <c r="A84" s="200"/>
      <c r="B84" s="192"/>
      <c r="C84" s="211" t="s">
        <v>255</v>
      </c>
      <c r="D84" s="195" t="s">
        <v>1</v>
      </c>
      <c r="E84" s="182">
        <f>(E71*1*1.1)/90</f>
        <v>1.2244466666666667</v>
      </c>
      <c r="F84" s="197"/>
      <c r="G84" s="193"/>
      <c r="H84" s="193"/>
      <c r="I84" s="193"/>
      <c r="J84" s="193"/>
      <c r="K84" s="194"/>
      <c r="L84" s="198"/>
      <c r="M84" s="193"/>
      <c r="N84" s="193"/>
      <c r="O84" s="193"/>
      <c r="P84" s="194"/>
    </row>
    <row r="85" spans="1:16">
      <c r="A85" s="200"/>
      <c r="B85" s="192"/>
      <c r="C85" s="196" t="s">
        <v>222</v>
      </c>
      <c r="D85" s="195" t="s">
        <v>1</v>
      </c>
      <c r="E85" s="182">
        <f>(E71*0.3*1.1)/25</f>
        <v>1.3224024000000001</v>
      </c>
      <c r="F85" s="197"/>
      <c r="G85" s="193"/>
      <c r="H85" s="193"/>
      <c r="I85" s="193"/>
      <c r="J85" s="193"/>
      <c r="K85" s="194"/>
      <c r="L85" s="198"/>
      <c r="M85" s="193"/>
      <c r="N85" s="193"/>
      <c r="O85" s="193"/>
      <c r="P85" s="194"/>
    </row>
    <row r="86" spans="1:16" ht="22.5">
      <c r="A86" s="230">
        <v>5</v>
      </c>
      <c r="B86" s="405" t="s">
        <v>27</v>
      </c>
      <c r="C86" s="406" t="s">
        <v>256</v>
      </c>
      <c r="D86" s="209" t="s">
        <v>75</v>
      </c>
      <c r="E86" s="182">
        <v>100.182</v>
      </c>
      <c r="F86" s="384"/>
      <c r="G86" s="188"/>
      <c r="H86" s="188"/>
      <c r="I86" s="188"/>
      <c r="J86" s="188"/>
      <c r="K86" s="207"/>
      <c r="L86" s="208"/>
      <c r="M86" s="188"/>
      <c r="N86" s="188"/>
      <c r="O86" s="188"/>
      <c r="P86" s="207"/>
    </row>
    <row r="87" spans="1:16">
      <c r="A87" s="382"/>
      <c r="B87" s="385"/>
      <c r="C87" s="210" t="s">
        <v>89</v>
      </c>
      <c r="D87" s="209" t="s">
        <v>1</v>
      </c>
      <c r="E87" s="246">
        <f>1*E86/25</f>
        <v>4.0072799999999997</v>
      </c>
      <c r="F87" s="384"/>
      <c r="G87" s="188"/>
      <c r="H87" s="188"/>
      <c r="I87" s="183"/>
      <c r="J87" s="188"/>
      <c r="K87" s="207"/>
      <c r="L87" s="208"/>
      <c r="M87" s="188"/>
      <c r="N87" s="188"/>
      <c r="O87" s="188"/>
      <c r="P87" s="207"/>
    </row>
    <row r="88" spans="1:16" ht="22.5">
      <c r="A88" s="382"/>
      <c r="B88" s="385"/>
      <c r="C88" s="247" t="s">
        <v>90</v>
      </c>
      <c r="D88" s="209" t="s">
        <v>1</v>
      </c>
      <c r="E88" s="246">
        <f>0.5*E86/28</f>
        <v>1.7889642857142858</v>
      </c>
      <c r="F88" s="384"/>
      <c r="G88" s="188"/>
      <c r="H88" s="188"/>
      <c r="I88" s="183"/>
      <c r="J88" s="188"/>
      <c r="K88" s="207"/>
      <c r="L88" s="208"/>
      <c r="M88" s="188"/>
      <c r="N88" s="188"/>
      <c r="O88" s="188"/>
      <c r="P88" s="207"/>
    </row>
    <row r="89" spans="1:16">
      <c r="A89" s="382"/>
      <c r="B89" s="385"/>
      <c r="C89" s="210" t="s">
        <v>91</v>
      </c>
      <c r="D89" s="209" t="s">
        <v>1</v>
      </c>
      <c r="E89" s="246">
        <f>0.15*E86/15</f>
        <v>1.0018199999999999</v>
      </c>
      <c r="F89" s="384"/>
      <c r="G89" s="188"/>
      <c r="H89" s="188"/>
      <c r="I89" s="183"/>
      <c r="J89" s="188"/>
      <c r="K89" s="207"/>
      <c r="L89" s="208"/>
      <c r="M89" s="188"/>
      <c r="N89" s="188"/>
      <c r="O89" s="188"/>
      <c r="P89" s="207"/>
    </row>
    <row r="90" spans="1:16">
      <c r="A90" s="382"/>
      <c r="B90" s="385"/>
      <c r="C90" s="210" t="s">
        <v>92</v>
      </c>
      <c r="D90" s="209" t="s">
        <v>1</v>
      </c>
      <c r="E90" s="246">
        <f>E86*0.3/3</f>
        <v>10.0182</v>
      </c>
      <c r="F90" s="384"/>
      <c r="G90" s="188"/>
      <c r="H90" s="188"/>
      <c r="I90" s="183"/>
      <c r="J90" s="188"/>
      <c r="K90" s="207"/>
      <c r="L90" s="208"/>
      <c r="M90" s="188"/>
      <c r="N90" s="188"/>
      <c r="O90" s="188"/>
      <c r="P90" s="207"/>
    </row>
    <row r="91" spans="1:16">
      <c r="A91" s="382"/>
      <c r="B91" s="385"/>
      <c r="C91" s="210" t="s">
        <v>93</v>
      </c>
      <c r="D91" s="209" t="s">
        <v>2</v>
      </c>
      <c r="E91" s="246">
        <f>0.015*E86</f>
        <v>1.5027299999999999</v>
      </c>
      <c r="F91" s="384"/>
      <c r="G91" s="188"/>
      <c r="H91" s="188"/>
      <c r="I91" s="183"/>
      <c r="J91" s="188"/>
      <c r="K91" s="207"/>
      <c r="L91" s="208"/>
      <c r="M91" s="188"/>
      <c r="N91" s="188"/>
      <c r="O91" s="188"/>
      <c r="P91" s="207"/>
    </row>
    <row r="92" spans="1:16">
      <c r="A92" s="382">
        <v>6</v>
      </c>
      <c r="B92" s="206" t="s">
        <v>27</v>
      </c>
      <c r="C92" s="386" t="s">
        <v>257</v>
      </c>
      <c r="D92" s="209" t="s">
        <v>75</v>
      </c>
      <c r="E92" s="182">
        <v>100.182</v>
      </c>
      <c r="F92" s="384"/>
      <c r="G92" s="188"/>
      <c r="H92" s="188"/>
      <c r="I92" s="188"/>
      <c r="J92" s="188"/>
      <c r="K92" s="207"/>
      <c r="L92" s="208"/>
      <c r="M92" s="188"/>
      <c r="N92" s="188"/>
      <c r="O92" s="188"/>
      <c r="P92" s="207"/>
    </row>
    <row r="93" spans="1:16" ht="22.5">
      <c r="A93" s="382"/>
      <c r="B93" s="385"/>
      <c r="C93" s="247" t="s">
        <v>94</v>
      </c>
      <c r="D93" s="209" t="s">
        <v>95</v>
      </c>
      <c r="E93" s="363">
        <f>0.05*E92</f>
        <v>5.0091000000000001</v>
      </c>
      <c r="F93" s="384"/>
      <c r="G93" s="188"/>
      <c r="H93" s="188"/>
      <c r="I93" s="183"/>
      <c r="J93" s="188"/>
      <c r="K93" s="207"/>
      <c r="L93" s="208"/>
      <c r="M93" s="188"/>
      <c r="N93" s="188"/>
      <c r="O93" s="188"/>
      <c r="P93" s="207"/>
    </row>
    <row r="94" spans="1:16">
      <c r="A94" s="382"/>
      <c r="B94" s="385"/>
      <c r="C94" s="210" t="s">
        <v>96</v>
      </c>
      <c r="D94" s="209" t="s">
        <v>1</v>
      </c>
      <c r="E94" s="246">
        <f>E92*0.03</f>
        <v>3.0054599999999998</v>
      </c>
      <c r="F94" s="384"/>
      <c r="G94" s="188"/>
      <c r="H94" s="188"/>
      <c r="I94" s="183"/>
      <c r="J94" s="188"/>
      <c r="K94" s="207"/>
      <c r="L94" s="208"/>
      <c r="M94" s="188"/>
      <c r="N94" s="188"/>
      <c r="O94" s="188"/>
      <c r="P94" s="207"/>
    </row>
    <row r="95" spans="1:16" ht="22.5">
      <c r="A95" s="382"/>
      <c r="B95" s="385"/>
      <c r="C95" s="387" t="s">
        <v>229</v>
      </c>
      <c r="D95" s="388" t="s">
        <v>76</v>
      </c>
      <c r="E95" s="363">
        <f>0.15*E92/9</f>
        <v>1.6697</v>
      </c>
      <c r="F95" s="384"/>
      <c r="G95" s="188"/>
      <c r="H95" s="188"/>
      <c r="I95" s="183"/>
      <c r="J95" s="188"/>
      <c r="K95" s="207"/>
      <c r="L95" s="208"/>
      <c r="M95" s="188"/>
      <c r="N95" s="188"/>
      <c r="O95" s="188"/>
      <c r="P95" s="207"/>
    </row>
    <row r="96" spans="1:16">
      <c r="A96" s="382"/>
      <c r="B96" s="385"/>
      <c r="C96" s="389" t="s">
        <v>97</v>
      </c>
      <c r="D96" s="209" t="s">
        <v>1</v>
      </c>
      <c r="E96" s="246">
        <f>0.2*E92/9</f>
        <v>2.2262666666666666</v>
      </c>
      <c r="F96" s="384"/>
      <c r="G96" s="188"/>
      <c r="H96" s="188"/>
      <c r="I96" s="183"/>
      <c r="J96" s="188"/>
      <c r="K96" s="207"/>
      <c r="L96" s="208"/>
      <c r="M96" s="188"/>
      <c r="N96" s="188"/>
      <c r="O96" s="188"/>
      <c r="P96" s="207"/>
    </row>
    <row r="97" spans="1:16">
      <c r="A97" s="364"/>
      <c r="B97" s="365"/>
      <c r="C97" s="334" t="s">
        <v>200</v>
      </c>
      <c r="D97" s="366"/>
      <c r="E97" s="367"/>
      <c r="F97" s="368"/>
      <c r="G97" s="369"/>
      <c r="H97" s="369"/>
      <c r="I97" s="369"/>
      <c r="J97" s="369"/>
      <c r="K97" s="370"/>
      <c r="L97" s="371"/>
      <c r="M97" s="369"/>
      <c r="N97" s="369"/>
      <c r="O97" s="369"/>
      <c r="P97" s="370"/>
    </row>
    <row r="98" spans="1:16" ht="22.5">
      <c r="A98" s="407">
        <v>1</v>
      </c>
      <c r="B98" s="282" t="s">
        <v>27</v>
      </c>
      <c r="C98" s="408" t="s">
        <v>327</v>
      </c>
      <c r="D98" s="284" t="s">
        <v>77</v>
      </c>
      <c r="E98" s="316">
        <v>7.72</v>
      </c>
      <c r="F98" s="286"/>
      <c r="G98" s="183"/>
      <c r="H98" s="287"/>
      <c r="I98" s="287"/>
      <c r="J98" s="287"/>
      <c r="K98" s="288"/>
      <c r="L98" s="289"/>
      <c r="M98" s="287"/>
      <c r="N98" s="287"/>
      <c r="O98" s="287"/>
      <c r="P98" s="288"/>
    </row>
    <row r="99" spans="1:16" ht="22.5">
      <c r="A99" s="409"/>
      <c r="B99" s="284"/>
      <c r="C99" s="410" t="s">
        <v>258</v>
      </c>
      <c r="D99" s="284" t="s">
        <v>76</v>
      </c>
      <c r="E99" s="316">
        <v>4</v>
      </c>
      <c r="F99" s="286"/>
      <c r="G99" s="287"/>
      <c r="H99" s="287"/>
      <c r="I99" s="287"/>
      <c r="J99" s="287"/>
      <c r="K99" s="288"/>
      <c r="L99" s="289"/>
      <c r="M99" s="287"/>
      <c r="N99" s="287"/>
      <c r="O99" s="287"/>
      <c r="P99" s="288"/>
    </row>
    <row r="100" spans="1:16" ht="22.5">
      <c r="A100" s="409"/>
      <c r="B100" s="284"/>
      <c r="C100" s="410" t="s">
        <v>313</v>
      </c>
      <c r="D100" s="284" t="s">
        <v>76</v>
      </c>
      <c r="E100" s="316">
        <v>2</v>
      </c>
      <c r="F100" s="286"/>
      <c r="G100" s="287"/>
      <c r="H100" s="287"/>
      <c r="I100" s="287"/>
      <c r="J100" s="287"/>
      <c r="K100" s="288"/>
      <c r="L100" s="289"/>
      <c r="M100" s="287"/>
      <c r="N100" s="287"/>
      <c r="O100" s="287"/>
      <c r="P100" s="288"/>
    </row>
    <row r="101" spans="1:16">
      <c r="A101" s="407"/>
      <c r="B101" s="411"/>
      <c r="C101" s="412" t="s">
        <v>83</v>
      </c>
      <c r="D101" s="284" t="s">
        <v>1</v>
      </c>
      <c r="E101" s="316">
        <f>E98*0.5</f>
        <v>3.86</v>
      </c>
      <c r="F101" s="286"/>
      <c r="G101" s="287"/>
      <c r="H101" s="287"/>
      <c r="I101" s="287"/>
      <c r="J101" s="413"/>
      <c r="K101" s="288"/>
      <c r="L101" s="289"/>
      <c r="M101" s="287"/>
      <c r="N101" s="287"/>
      <c r="O101" s="287"/>
      <c r="P101" s="288"/>
    </row>
    <row r="102" spans="1:16">
      <c r="A102" s="407"/>
      <c r="B102" s="411"/>
      <c r="C102" s="412" t="s">
        <v>82</v>
      </c>
      <c r="D102" s="284" t="s">
        <v>1</v>
      </c>
      <c r="E102" s="316">
        <f>SUM(E99:E100)*10</f>
        <v>60</v>
      </c>
      <c r="F102" s="286"/>
      <c r="G102" s="287"/>
      <c r="H102" s="287"/>
      <c r="I102" s="287"/>
      <c r="J102" s="413"/>
      <c r="K102" s="288"/>
      <c r="L102" s="289"/>
      <c r="M102" s="287"/>
      <c r="N102" s="287"/>
      <c r="O102" s="287"/>
      <c r="P102" s="288"/>
    </row>
    <row r="103" spans="1:16">
      <c r="A103" s="200">
        <v>2</v>
      </c>
      <c r="B103" s="192" t="s">
        <v>84</v>
      </c>
      <c r="C103" s="414" t="s">
        <v>259</v>
      </c>
      <c r="D103" s="195" t="s">
        <v>163</v>
      </c>
      <c r="E103" s="182">
        <v>7.6</v>
      </c>
      <c r="F103" s="197"/>
      <c r="G103" s="183"/>
      <c r="H103" s="193"/>
      <c r="I103" s="193"/>
      <c r="J103" s="193"/>
      <c r="K103" s="194"/>
      <c r="L103" s="198"/>
      <c r="M103" s="193"/>
      <c r="N103" s="193"/>
      <c r="O103" s="193"/>
      <c r="P103" s="194"/>
    </row>
    <row r="104" spans="1:16">
      <c r="A104" s="200"/>
      <c r="B104" s="192"/>
      <c r="C104" s="211" t="s">
        <v>260</v>
      </c>
      <c r="D104" s="195" t="s">
        <v>163</v>
      </c>
      <c r="E104" s="182">
        <f>E103*1.05</f>
        <v>7.9799999999999995</v>
      </c>
      <c r="F104" s="197"/>
      <c r="G104" s="193"/>
      <c r="H104" s="193"/>
      <c r="I104" s="193"/>
      <c r="J104" s="193"/>
      <c r="K104" s="194"/>
      <c r="L104" s="198"/>
      <c r="M104" s="193"/>
      <c r="N104" s="193"/>
      <c r="O104" s="193"/>
      <c r="P104" s="194"/>
    </row>
    <row r="105" spans="1:16">
      <c r="A105" s="200"/>
      <c r="B105" s="192"/>
      <c r="C105" s="196" t="s">
        <v>83</v>
      </c>
      <c r="D105" s="195" t="s">
        <v>1</v>
      </c>
      <c r="E105" s="182">
        <f>E103*0.2</f>
        <v>1.52</v>
      </c>
      <c r="F105" s="197"/>
      <c r="G105" s="193"/>
      <c r="H105" s="193"/>
      <c r="I105" s="193"/>
      <c r="J105" s="193"/>
      <c r="K105" s="194"/>
      <c r="L105" s="198"/>
      <c r="M105" s="193"/>
      <c r="N105" s="193"/>
      <c r="O105" s="193"/>
      <c r="P105" s="194"/>
    </row>
    <row r="106" spans="1:16">
      <c r="A106" s="191" t="s">
        <v>8</v>
      </c>
      <c r="B106" s="141" t="s">
        <v>27</v>
      </c>
      <c r="C106" s="373" t="s">
        <v>261</v>
      </c>
      <c r="D106" s="195" t="s">
        <v>74</v>
      </c>
      <c r="E106" s="182">
        <v>7.6</v>
      </c>
      <c r="F106" s="197"/>
      <c r="G106" s="193"/>
      <c r="H106" s="193"/>
      <c r="I106" s="193"/>
      <c r="J106" s="193"/>
      <c r="K106" s="194"/>
      <c r="L106" s="198"/>
      <c r="M106" s="193"/>
      <c r="N106" s="193"/>
      <c r="O106" s="193"/>
      <c r="P106" s="194"/>
    </row>
    <row r="107" spans="1:16">
      <c r="A107" s="191"/>
      <c r="B107" s="141"/>
      <c r="C107" s="211" t="s">
        <v>262</v>
      </c>
      <c r="D107" s="195" t="s">
        <v>163</v>
      </c>
      <c r="E107" s="182">
        <f>E106*1.1</f>
        <v>8.36</v>
      </c>
      <c r="F107" s="197"/>
      <c r="G107" s="193"/>
      <c r="H107" s="193"/>
      <c r="I107" s="193"/>
      <c r="J107" s="193"/>
      <c r="K107" s="194"/>
      <c r="L107" s="198"/>
      <c r="M107" s="193"/>
      <c r="N107" s="193"/>
      <c r="O107" s="193"/>
      <c r="P107" s="194"/>
    </row>
    <row r="108" spans="1:16">
      <c r="A108" s="191"/>
      <c r="B108" s="141"/>
      <c r="C108" s="211" t="s">
        <v>79</v>
      </c>
      <c r="D108" s="195" t="s">
        <v>1</v>
      </c>
      <c r="E108" s="182">
        <f>E107/0.3</f>
        <v>27.866666666666667</v>
      </c>
      <c r="F108" s="197"/>
      <c r="G108" s="193"/>
      <c r="H108" s="193"/>
      <c r="I108" s="193"/>
      <c r="J108" s="193"/>
      <c r="K108" s="194"/>
      <c r="L108" s="198"/>
      <c r="M108" s="193"/>
      <c r="N108" s="193"/>
      <c r="O108" s="193"/>
      <c r="P108" s="194"/>
    </row>
    <row r="109" spans="1:16">
      <c r="A109" s="407">
        <v>4</v>
      </c>
      <c r="B109" s="282" t="s">
        <v>27</v>
      </c>
      <c r="C109" s="408" t="s">
        <v>263</v>
      </c>
      <c r="D109" s="284" t="s">
        <v>77</v>
      </c>
      <c r="E109" s="316">
        <v>30.24</v>
      </c>
      <c r="F109" s="286"/>
      <c r="G109" s="183"/>
      <c r="H109" s="287"/>
      <c r="I109" s="287"/>
      <c r="J109" s="287"/>
      <c r="K109" s="288"/>
      <c r="L109" s="289"/>
      <c r="M109" s="287"/>
      <c r="N109" s="287"/>
      <c r="O109" s="287"/>
      <c r="P109" s="288"/>
    </row>
    <row r="110" spans="1:16" ht="22.5">
      <c r="A110" s="409"/>
      <c r="B110" s="284"/>
      <c r="C110" s="410" t="s">
        <v>264</v>
      </c>
      <c r="D110" s="284" t="s">
        <v>76</v>
      </c>
      <c r="E110" s="316">
        <v>16</v>
      </c>
      <c r="F110" s="286"/>
      <c r="G110" s="287"/>
      <c r="H110" s="287"/>
      <c r="I110" s="287"/>
      <c r="J110" s="287"/>
      <c r="K110" s="288"/>
      <c r="L110" s="289"/>
      <c r="M110" s="287"/>
      <c r="N110" s="287"/>
      <c r="O110" s="287"/>
      <c r="P110" s="288"/>
    </row>
    <row r="111" spans="1:16">
      <c r="A111" s="407"/>
      <c r="B111" s="411"/>
      <c r="C111" s="412" t="s">
        <v>83</v>
      </c>
      <c r="D111" s="284" t="s">
        <v>1</v>
      </c>
      <c r="E111" s="316">
        <f>E109*0.5</f>
        <v>15.12</v>
      </c>
      <c r="F111" s="286"/>
      <c r="G111" s="287"/>
      <c r="H111" s="287"/>
      <c r="I111" s="287"/>
      <c r="J111" s="413"/>
      <c r="K111" s="288"/>
      <c r="L111" s="289"/>
      <c r="M111" s="287"/>
      <c r="N111" s="287"/>
      <c r="O111" s="287"/>
      <c r="P111" s="288"/>
    </row>
    <row r="112" spans="1:16">
      <c r="A112" s="407"/>
      <c r="B112" s="411"/>
      <c r="C112" s="412" t="s">
        <v>82</v>
      </c>
      <c r="D112" s="284" t="s">
        <v>1</v>
      </c>
      <c r="E112" s="316">
        <f>SUM(E110)*10</f>
        <v>160</v>
      </c>
      <c r="F112" s="286"/>
      <c r="G112" s="287"/>
      <c r="H112" s="287"/>
      <c r="I112" s="287"/>
      <c r="J112" s="413"/>
      <c r="K112" s="288"/>
      <c r="L112" s="289"/>
      <c r="M112" s="287"/>
      <c r="N112" s="287"/>
      <c r="O112" s="287"/>
      <c r="P112" s="288"/>
    </row>
    <row r="113" spans="1:16">
      <c r="A113" s="184" t="s">
        <v>10</v>
      </c>
      <c r="B113" s="185" t="s">
        <v>27</v>
      </c>
      <c r="C113" s="415" t="s">
        <v>265</v>
      </c>
      <c r="D113" s="209" t="s">
        <v>0</v>
      </c>
      <c r="E113" s="246">
        <v>16</v>
      </c>
      <c r="F113" s="187"/>
      <c r="G113" s="188"/>
      <c r="H113" s="183"/>
      <c r="I113" s="183"/>
      <c r="J113" s="183"/>
      <c r="K113" s="189"/>
      <c r="L113" s="190"/>
      <c r="M113" s="183"/>
      <c r="N113" s="183"/>
      <c r="O113" s="183"/>
      <c r="P113" s="189"/>
    </row>
    <row r="114" spans="1:16">
      <c r="A114" s="184"/>
      <c r="B114" s="185"/>
      <c r="C114" s="416" t="s">
        <v>266</v>
      </c>
      <c r="D114" s="209" t="s">
        <v>1</v>
      </c>
      <c r="E114" s="246">
        <f>E113</f>
        <v>16</v>
      </c>
      <c r="F114" s="187"/>
      <c r="G114" s="415"/>
      <c r="H114" s="415"/>
      <c r="I114" s="183"/>
      <c r="J114" s="415"/>
      <c r="K114" s="189"/>
      <c r="L114" s="417"/>
      <c r="M114" s="415"/>
      <c r="N114" s="183"/>
      <c r="O114" s="415"/>
      <c r="P114" s="418"/>
    </row>
    <row r="115" spans="1:16">
      <c r="A115" s="184"/>
      <c r="B115" s="185"/>
      <c r="C115" s="210" t="s">
        <v>267</v>
      </c>
      <c r="D115" s="209" t="s">
        <v>76</v>
      </c>
      <c r="E115" s="246">
        <f>E113*5/0.4</f>
        <v>200</v>
      </c>
      <c r="F115" s="187"/>
      <c r="G115" s="415"/>
      <c r="H115" s="415"/>
      <c r="I115" s="183"/>
      <c r="J115" s="415"/>
      <c r="K115" s="189"/>
      <c r="L115" s="417"/>
      <c r="M115" s="415"/>
      <c r="N115" s="183"/>
      <c r="O115" s="415"/>
      <c r="P115" s="418"/>
    </row>
    <row r="116" spans="1:16">
      <c r="A116" s="184"/>
      <c r="B116" s="185"/>
      <c r="C116" s="389" t="s">
        <v>268</v>
      </c>
      <c r="D116" s="209" t="s">
        <v>76</v>
      </c>
      <c r="E116" s="246">
        <f>(E113*0.15)*0.1*5/2.5</f>
        <v>0.48</v>
      </c>
      <c r="F116" s="187"/>
      <c r="G116" s="415"/>
      <c r="H116" s="415"/>
      <c r="I116" s="183"/>
      <c r="J116" s="415"/>
      <c r="K116" s="189"/>
      <c r="L116" s="417"/>
      <c r="M116" s="415"/>
      <c r="N116" s="183"/>
      <c r="O116" s="415"/>
      <c r="P116" s="418"/>
    </row>
    <row r="117" spans="1:16">
      <c r="A117" s="184"/>
      <c r="B117" s="185"/>
      <c r="C117" s="210" t="s">
        <v>93</v>
      </c>
      <c r="D117" s="209" t="s">
        <v>2</v>
      </c>
      <c r="E117" s="246">
        <f>0.03*E113*5</f>
        <v>2.4</v>
      </c>
      <c r="F117" s="187"/>
      <c r="G117" s="415"/>
      <c r="H117" s="415"/>
      <c r="I117" s="183"/>
      <c r="J117" s="415"/>
      <c r="K117" s="189"/>
      <c r="L117" s="417"/>
      <c r="M117" s="415"/>
      <c r="N117" s="183"/>
      <c r="O117" s="415"/>
      <c r="P117" s="418"/>
    </row>
    <row r="118" spans="1:16">
      <c r="A118" s="184"/>
      <c r="B118" s="185"/>
      <c r="C118" s="210" t="s">
        <v>269</v>
      </c>
      <c r="D118" s="209" t="s">
        <v>76</v>
      </c>
      <c r="E118" s="246">
        <f>(E113*0.15)*0.15*5/2.5</f>
        <v>0.72</v>
      </c>
      <c r="F118" s="187"/>
      <c r="G118" s="415"/>
      <c r="H118" s="415"/>
      <c r="I118" s="183"/>
      <c r="J118" s="415"/>
      <c r="K118" s="189"/>
      <c r="L118" s="417"/>
      <c r="M118" s="415"/>
      <c r="N118" s="183"/>
      <c r="O118" s="415"/>
      <c r="P118" s="418"/>
    </row>
    <row r="119" spans="1:16">
      <c r="A119" s="184"/>
      <c r="B119" s="185"/>
      <c r="C119" s="210" t="s">
        <v>270</v>
      </c>
      <c r="D119" s="209" t="s">
        <v>76</v>
      </c>
      <c r="E119" s="246">
        <f>(E113*0.15)*0.2*5/1</f>
        <v>2.4</v>
      </c>
      <c r="F119" s="187"/>
      <c r="G119" s="415"/>
      <c r="H119" s="415"/>
      <c r="I119" s="183"/>
      <c r="J119" s="415"/>
      <c r="K119" s="189"/>
      <c r="L119" s="417"/>
      <c r="M119" s="415"/>
      <c r="N119" s="183"/>
      <c r="O119" s="415"/>
      <c r="P119" s="418"/>
    </row>
    <row r="120" spans="1:16" ht="22.5">
      <c r="A120" s="184"/>
      <c r="B120" s="185"/>
      <c r="C120" s="247" t="s">
        <v>94</v>
      </c>
      <c r="D120" s="209" t="s">
        <v>95</v>
      </c>
      <c r="E120" s="363">
        <f>0.1*E113</f>
        <v>1.6</v>
      </c>
      <c r="F120" s="187"/>
      <c r="G120" s="415"/>
      <c r="H120" s="415"/>
      <c r="I120" s="183"/>
      <c r="J120" s="415"/>
      <c r="K120" s="189"/>
      <c r="L120" s="417"/>
      <c r="M120" s="415"/>
      <c r="N120" s="183"/>
      <c r="O120" s="415"/>
      <c r="P120" s="418"/>
    </row>
    <row r="121" spans="1:16" ht="33.75">
      <c r="A121" s="230">
        <v>6</v>
      </c>
      <c r="B121" s="405" t="s">
        <v>271</v>
      </c>
      <c r="C121" s="419" t="s">
        <v>272</v>
      </c>
      <c r="D121" s="420" t="s">
        <v>75</v>
      </c>
      <c r="E121" s="363">
        <v>25.82</v>
      </c>
      <c r="F121" s="384"/>
      <c r="G121" s="188"/>
      <c r="H121" s="188"/>
      <c r="I121" s="188"/>
      <c r="J121" s="183"/>
      <c r="K121" s="207"/>
      <c r="L121" s="208"/>
      <c r="M121" s="188"/>
      <c r="N121" s="188"/>
      <c r="O121" s="188"/>
      <c r="P121" s="207"/>
    </row>
    <row r="122" spans="1:16">
      <c r="A122" s="382"/>
      <c r="B122" s="206"/>
      <c r="C122" s="421" t="s">
        <v>273</v>
      </c>
      <c r="D122" s="420" t="s">
        <v>1</v>
      </c>
      <c r="E122" s="422">
        <f>E121*4*1.1/30</f>
        <v>3.7869333333333333</v>
      </c>
      <c r="F122" s="384"/>
      <c r="G122" s="188"/>
      <c r="H122" s="188"/>
      <c r="I122" s="423"/>
      <c r="J122" s="188"/>
      <c r="K122" s="207"/>
      <c r="L122" s="208"/>
      <c r="M122" s="188"/>
      <c r="N122" s="188"/>
      <c r="O122" s="188"/>
      <c r="P122" s="207"/>
    </row>
    <row r="123" spans="1:16" ht="22.5">
      <c r="A123" s="424"/>
      <c r="B123" s="425"/>
      <c r="C123" s="421" t="s">
        <v>252</v>
      </c>
      <c r="D123" s="420" t="s">
        <v>219</v>
      </c>
      <c r="E123" s="422">
        <f>(E121*1.1)/3.6</f>
        <v>7.8894444444444449</v>
      </c>
      <c r="F123" s="426"/>
      <c r="G123" s="427"/>
      <c r="H123" s="427"/>
      <c r="I123" s="423"/>
      <c r="J123" s="188"/>
      <c r="K123" s="428"/>
      <c r="L123" s="429"/>
      <c r="M123" s="427"/>
      <c r="N123" s="427"/>
      <c r="O123" s="427"/>
      <c r="P123" s="428"/>
    </row>
    <row r="124" spans="1:16" ht="22.5">
      <c r="A124" s="382"/>
      <c r="B124" s="206"/>
      <c r="C124" s="421" t="s">
        <v>274</v>
      </c>
      <c r="D124" s="420" t="s">
        <v>1</v>
      </c>
      <c r="E124" s="422">
        <f>E126*1.1/3</f>
        <v>51.846666666666671</v>
      </c>
      <c r="F124" s="384"/>
      <c r="G124" s="188"/>
      <c r="H124" s="188"/>
      <c r="I124" s="423"/>
      <c r="J124" s="188"/>
      <c r="K124" s="207"/>
      <c r="L124" s="208"/>
      <c r="M124" s="188"/>
      <c r="N124" s="188"/>
      <c r="O124" s="188"/>
      <c r="P124" s="207"/>
    </row>
    <row r="125" spans="1:16">
      <c r="A125" s="424"/>
      <c r="B125" s="430"/>
      <c r="C125" s="431" t="s">
        <v>275</v>
      </c>
      <c r="D125" s="432" t="s">
        <v>76</v>
      </c>
      <c r="E125" s="422">
        <f>E121*10</f>
        <v>258.2</v>
      </c>
      <c r="F125" s="426"/>
      <c r="G125" s="427"/>
      <c r="H125" s="427"/>
      <c r="I125" s="427"/>
      <c r="J125" s="188"/>
      <c r="K125" s="428"/>
      <c r="L125" s="429"/>
      <c r="M125" s="427"/>
      <c r="N125" s="427"/>
      <c r="O125" s="427"/>
      <c r="P125" s="428"/>
    </row>
    <row r="126" spans="1:16" ht="33.75">
      <c r="A126" s="424">
        <v>7</v>
      </c>
      <c r="B126" s="433" t="s">
        <v>85</v>
      </c>
      <c r="C126" s="434" t="s">
        <v>276</v>
      </c>
      <c r="D126" s="420" t="s">
        <v>2</v>
      </c>
      <c r="E126" s="422">
        <v>141.4</v>
      </c>
      <c r="F126" s="426"/>
      <c r="G126" s="188"/>
      <c r="H126" s="427"/>
      <c r="I126" s="427"/>
      <c r="J126" s="183"/>
      <c r="K126" s="428"/>
      <c r="L126" s="429"/>
      <c r="M126" s="427"/>
      <c r="N126" s="427"/>
      <c r="O126" s="427"/>
      <c r="P126" s="428"/>
    </row>
    <row r="127" spans="1:16" ht="22.5">
      <c r="A127" s="424"/>
      <c r="B127" s="435"/>
      <c r="C127" s="421" t="s">
        <v>86</v>
      </c>
      <c r="D127" s="420" t="s">
        <v>76</v>
      </c>
      <c r="E127" s="422">
        <f>E126*1.1/2.5</f>
        <v>62.216000000000008</v>
      </c>
      <c r="F127" s="426"/>
      <c r="G127" s="427"/>
      <c r="H127" s="427"/>
      <c r="I127" s="423"/>
      <c r="J127" s="188"/>
      <c r="K127" s="428"/>
      <c r="L127" s="429"/>
      <c r="M127" s="427"/>
      <c r="N127" s="427"/>
      <c r="O127" s="427"/>
      <c r="P127" s="428"/>
    </row>
    <row r="128" spans="1:16">
      <c r="A128" s="424"/>
      <c r="B128" s="435"/>
      <c r="C128" s="431" t="s">
        <v>87</v>
      </c>
      <c r="D128" s="420" t="s">
        <v>76</v>
      </c>
      <c r="E128" s="422">
        <f>(E126*0.2*4)/25</f>
        <v>4.5247999999999999</v>
      </c>
      <c r="F128" s="426"/>
      <c r="G128" s="427"/>
      <c r="H128" s="427"/>
      <c r="I128" s="423"/>
      <c r="J128" s="188"/>
      <c r="K128" s="428"/>
      <c r="L128" s="429"/>
      <c r="M128" s="427"/>
      <c r="N128" s="427"/>
      <c r="O128" s="427"/>
      <c r="P128" s="428"/>
    </row>
    <row r="129" spans="1:16">
      <c r="A129" s="382">
        <v>8</v>
      </c>
      <c r="B129" s="206" t="s">
        <v>27</v>
      </c>
      <c r="C129" s="383" t="s">
        <v>277</v>
      </c>
      <c r="D129" s="209" t="s">
        <v>75</v>
      </c>
      <c r="E129" s="363">
        <v>25.82</v>
      </c>
      <c r="F129" s="384"/>
      <c r="G129" s="188"/>
      <c r="H129" s="188"/>
      <c r="I129" s="188"/>
      <c r="J129" s="183"/>
      <c r="K129" s="207"/>
      <c r="L129" s="208"/>
      <c r="M129" s="188"/>
      <c r="N129" s="188"/>
      <c r="O129" s="188"/>
      <c r="P129" s="207"/>
    </row>
    <row r="130" spans="1:16">
      <c r="A130" s="375"/>
      <c r="B130" s="361"/>
      <c r="C130" s="210" t="s">
        <v>88</v>
      </c>
      <c r="D130" s="209" t="s">
        <v>1</v>
      </c>
      <c r="E130" s="246">
        <f>1*E129/30</f>
        <v>0.86066666666666669</v>
      </c>
      <c r="F130" s="187"/>
      <c r="G130" s="183"/>
      <c r="H130" s="183"/>
      <c r="I130" s="183"/>
      <c r="J130" s="183"/>
      <c r="K130" s="189"/>
      <c r="L130" s="190"/>
      <c r="M130" s="183"/>
      <c r="N130" s="183"/>
      <c r="O130" s="183"/>
      <c r="P130" s="189"/>
    </row>
    <row r="131" spans="1:16">
      <c r="A131" s="382"/>
      <c r="B131" s="385"/>
      <c r="C131" s="210" t="s">
        <v>89</v>
      </c>
      <c r="D131" s="209" t="s">
        <v>1</v>
      </c>
      <c r="E131" s="246">
        <f>1*E129/25</f>
        <v>1.0327999999999999</v>
      </c>
      <c r="F131" s="384"/>
      <c r="G131" s="188"/>
      <c r="H131" s="188"/>
      <c r="I131" s="183"/>
      <c r="J131" s="188"/>
      <c r="K131" s="207"/>
      <c r="L131" s="208"/>
      <c r="M131" s="188"/>
      <c r="N131" s="188"/>
      <c r="O131" s="188"/>
      <c r="P131" s="207"/>
    </row>
    <row r="132" spans="1:16" ht="22.5">
      <c r="A132" s="382"/>
      <c r="B132" s="385"/>
      <c r="C132" s="247" t="s">
        <v>90</v>
      </c>
      <c r="D132" s="209" t="s">
        <v>1</v>
      </c>
      <c r="E132" s="246">
        <f>0.5*E129/28</f>
        <v>0.46107142857142858</v>
      </c>
      <c r="F132" s="384"/>
      <c r="G132" s="188"/>
      <c r="H132" s="188"/>
      <c r="I132" s="183"/>
      <c r="J132" s="188"/>
      <c r="K132" s="207"/>
      <c r="L132" s="208"/>
      <c r="M132" s="188"/>
      <c r="N132" s="188"/>
      <c r="O132" s="188"/>
      <c r="P132" s="207"/>
    </row>
    <row r="133" spans="1:16">
      <c r="A133" s="382"/>
      <c r="B133" s="385"/>
      <c r="C133" s="210" t="s">
        <v>91</v>
      </c>
      <c r="D133" s="209" t="s">
        <v>1</v>
      </c>
      <c r="E133" s="246">
        <f>0.15*E129/15</f>
        <v>0.25819999999999999</v>
      </c>
      <c r="F133" s="384"/>
      <c r="G133" s="188"/>
      <c r="H133" s="188"/>
      <c r="I133" s="183"/>
      <c r="J133" s="188"/>
      <c r="K133" s="207"/>
      <c r="L133" s="208"/>
      <c r="M133" s="188"/>
      <c r="N133" s="188"/>
      <c r="O133" s="188"/>
      <c r="P133" s="207"/>
    </row>
    <row r="134" spans="1:16">
      <c r="A134" s="382"/>
      <c r="B134" s="385"/>
      <c r="C134" s="210" t="s">
        <v>92</v>
      </c>
      <c r="D134" s="209" t="s">
        <v>1</v>
      </c>
      <c r="E134" s="246">
        <f>E129*0.3/3</f>
        <v>2.5819999999999999</v>
      </c>
      <c r="F134" s="384"/>
      <c r="G134" s="188"/>
      <c r="H134" s="188"/>
      <c r="I134" s="183"/>
      <c r="J134" s="188"/>
      <c r="K134" s="207"/>
      <c r="L134" s="208"/>
      <c r="M134" s="188"/>
      <c r="N134" s="188"/>
      <c r="O134" s="188"/>
      <c r="P134" s="207"/>
    </row>
    <row r="135" spans="1:16">
      <c r="A135" s="382"/>
      <c r="B135" s="385"/>
      <c r="C135" s="210" t="s">
        <v>93</v>
      </c>
      <c r="D135" s="209" t="s">
        <v>2</v>
      </c>
      <c r="E135" s="246">
        <f>0.015*E129</f>
        <v>0.38729999999999998</v>
      </c>
      <c r="F135" s="384"/>
      <c r="G135" s="188"/>
      <c r="H135" s="188"/>
      <c r="I135" s="183"/>
      <c r="J135" s="188"/>
      <c r="K135" s="207"/>
      <c r="L135" s="208"/>
      <c r="M135" s="188"/>
      <c r="N135" s="188"/>
      <c r="O135" s="188"/>
      <c r="P135" s="207"/>
    </row>
    <row r="136" spans="1:16">
      <c r="A136" s="382">
        <v>9</v>
      </c>
      <c r="B136" s="206" t="s">
        <v>27</v>
      </c>
      <c r="C136" s="386" t="s">
        <v>278</v>
      </c>
      <c r="D136" s="209" t="s">
        <v>75</v>
      </c>
      <c r="E136" s="363">
        <v>25.82</v>
      </c>
      <c r="F136" s="384"/>
      <c r="G136" s="188"/>
      <c r="H136" s="188"/>
      <c r="I136" s="188"/>
      <c r="J136" s="183"/>
      <c r="K136" s="207"/>
      <c r="L136" s="208"/>
      <c r="M136" s="188"/>
      <c r="N136" s="188"/>
      <c r="O136" s="188"/>
      <c r="P136" s="207"/>
    </row>
    <row r="137" spans="1:16" ht="22.5">
      <c r="A137" s="382"/>
      <c r="B137" s="385"/>
      <c r="C137" s="247" t="s">
        <v>94</v>
      </c>
      <c r="D137" s="209" t="s">
        <v>95</v>
      </c>
      <c r="E137" s="363">
        <f>0.05*E136</f>
        <v>1.2910000000000001</v>
      </c>
      <c r="F137" s="384"/>
      <c r="G137" s="188"/>
      <c r="H137" s="188"/>
      <c r="I137" s="183"/>
      <c r="J137" s="188"/>
      <c r="K137" s="207"/>
      <c r="L137" s="208"/>
      <c r="M137" s="188"/>
      <c r="N137" s="188"/>
      <c r="O137" s="188"/>
      <c r="P137" s="207"/>
    </row>
    <row r="138" spans="1:16">
      <c r="A138" s="382"/>
      <c r="B138" s="385"/>
      <c r="C138" s="210" t="s">
        <v>96</v>
      </c>
      <c r="D138" s="209" t="s">
        <v>1</v>
      </c>
      <c r="E138" s="246">
        <f>E136*0.03</f>
        <v>0.77459999999999996</v>
      </c>
      <c r="F138" s="384"/>
      <c r="G138" s="188"/>
      <c r="H138" s="188"/>
      <c r="I138" s="183"/>
      <c r="J138" s="188"/>
      <c r="K138" s="207"/>
      <c r="L138" s="208"/>
      <c r="M138" s="188"/>
      <c r="N138" s="188"/>
      <c r="O138" s="188"/>
      <c r="P138" s="207"/>
    </row>
    <row r="139" spans="1:16" ht="22.5">
      <c r="A139" s="382"/>
      <c r="B139" s="385"/>
      <c r="C139" s="387" t="s">
        <v>229</v>
      </c>
      <c r="D139" s="388" t="s">
        <v>76</v>
      </c>
      <c r="E139" s="363">
        <f>0.15*E136/9</f>
        <v>0.43033333333333329</v>
      </c>
      <c r="F139" s="384"/>
      <c r="G139" s="188"/>
      <c r="H139" s="188"/>
      <c r="I139" s="183"/>
      <c r="J139" s="188"/>
      <c r="K139" s="207"/>
      <c r="L139" s="208"/>
      <c r="M139" s="188"/>
      <c r="N139" s="188"/>
      <c r="O139" s="188"/>
      <c r="P139" s="207"/>
    </row>
    <row r="140" spans="1:16">
      <c r="A140" s="382"/>
      <c r="B140" s="385"/>
      <c r="C140" s="389" t="s">
        <v>97</v>
      </c>
      <c r="D140" s="209" t="s">
        <v>1</v>
      </c>
      <c r="E140" s="246">
        <f>0.2*E136/9</f>
        <v>0.57377777777777783</v>
      </c>
      <c r="F140" s="384"/>
      <c r="G140" s="188"/>
      <c r="H140" s="188"/>
      <c r="I140" s="183"/>
      <c r="J140" s="188"/>
      <c r="K140" s="207"/>
      <c r="L140" s="208"/>
      <c r="M140" s="188"/>
      <c r="N140" s="188"/>
      <c r="O140" s="188"/>
      <c r="P140" s="207"/>
    </row>
    <row r="141" spans="1:16">
      <c r="A141" s="364"/>
      <c r="B141" s="365"/>
      <c r="C141" s="334" t="s">
        <v>333</v>
      </c>
      <c r="D141" s="366"/>
      <c r="E141" s="367"/>
      <c r="F141" s="368"/>
      <c r="G141" s="369"/>
      <c r="H141" s="369"/>
      <c r="I141" s="369"/>
      <c r="J141" s="369"/>
      <c r="K141" s="370"/>
      <c r="L141" s="371"/>
      <c r="M141" s="369"/>
      <c r="N141" s="369"/>
      <c r="O141" s="369"/>
      <c r="P141" s="370"/>
    </row>
    <row r="142" spans="1:16">
      <c r="A142" s="200">
        <v>1</v>
      </c>
      <c r="B142" s="141" t="s">
        <v>279</v>
      </c>
      <c r="C142" s="391" t="s">
        <v>280</v>
      </c>
      <c r="D142" s="195" t="s">
        <v>75</v>
      </c>
      <c r="E142" s="359">
        <v>34.869999999999997</v>
      </c>
      <c r="F142" s="197"/>
      <c r="G142" s="188"/>
      <c r="H142" s="193"/>
      <c r="I142" s="193"/>
      <c r="J142" s="183"/>
      <c r="K142" s="194"/>
      <c r="L142" s="198"/>
      <c r="M142" s="193"/>
      <c r="N142" s="193"/>
      <c r="O142" s="193"/>
      <c r="P142" s="194"/>
    </row>
    <row r="143" spans="1:16">
      <c r="A143" s="200"/>
      <c r="B143" s="141"/>
      <c r="C143" s="211" t="s">
        <v>281</v>
      </c>
      <c r="D143" s="195" t="s">
        <v>108</v>
      </c>
      <c r="E143" s="182">
        <f>E142*1.05*1.6*0.15</f>
        <v>8.7872400000000006</v>
      </c>
      <c r="F143" s="197"/>
      <c r="G143" s="193"/>
      <c r="H143" s="193"/>
      <c r="I143" s="193"/>
      <c r="J143" s="193"/>
      <c r="K143" s="194"/>
      <c r="L143" s="198"/>
      <c r="M143" s="193"/>
      <c r="N143" s="193"/>
      <c r="O143" s="193"/>
      <c r="P143" s="194"/>
    </row>
    <row r="144" spans="1:16">
      <c r="A144" s="184" t="s">
        <v>7</v>
      </c>
      <c r="B144" s="185" t="s">
        <v>169</v>
      </c>
      <c r="C144" s="404" t="s">
        <v>282</v>
      </c>
      <c r="D144" s="209" t="s">
        <v>75</v>
      </c>
      <c r="E144" s="359">
        <v>34.869999999999997</v>
      </c>
      <c r="F144" s="187"/>
      <c r="G144" s="188"/>
      <c r="H144" s="183"/>
      <c r="I144" s="183"/>
      <c r="J144" s="183"/>
      <c r="K144" s="189"/>
      <c r="L144" s="190"/>
      <c r="M144" s="183"/>
      <c r="N144" s="183"/>
      <c r="O144" s="183"/>
      <c r="P144" s="189"/>
    </row>
    <row r="145" spans="1:16" ht="33.75">
      <c r="A145" s="184"/>
      <c r="B145" s="185"/>
      <c r="C145" s="247" t="s">
        <v>171</v>
      </c>
      <c r="D145" s="209" t="s">
        <v>242</v>
      </c>
      <c r="E145" s="246">
        <f>E144*1.2/150</f>
        <v>0.27895999999999999</v>
      </c>
      <c r="F145" s="187"/>
      <c r="G145" s="183"/>
      <c r="H145" s="183"/>
      <c r="I145" s="183"/>
      <c r="J145" s="183"/>
      <c r="K145" s="189"/>
      <c r="L145" s="190"/>
      <c r="M145" s="183"/>
      <c r="N145" s="183"/>
      <c r="O145" s="183"/>
      <c r="P145" s="189"/>
    </row>
    <row r="146" spans="1:16">
      <c r="A146" s="424">
        <v>3</v>
      </c>
      <c r="B146" s="206" t="s">
        <v>283</v>
      </c>
      <c r="C146" s="436" t="s">
        <v>284</v>
      </c>
      <c r="D146" s="209" t="s">
        <v>75</v>
      </c>
      <c r="E146" s="359">
        <v>34.869999999999997</v>
      </c>
      <c r="F146" s="426"/>
      <c r="G146" s="188"/>
      <c r="H146" s="427"/>
      <c r="I146" s="427"/>
      <c r="J146" s="183"/>
      <c r="K146" s="428"/>
      <c r="L146" s="429"/>
      <c r="M146" s="427"/>
      <c r="N146" s="427"/>
      <c r="O146" s="427"/>
      <c r="P146" s="428"/>
    </row>
    <row r="147" spans="1:16" ht="22.5">
      <c r="A147" s="424"/>
      <c r="B147" s="425"/>
      <c r="C147" s="247" t="s">
        <v>285</v>
      </c>
      <c r="D147" s="209" t="s">
        <v>75</v>
      </c>
      <c r="E147" s="246">
        <f>1.1*E146</f>
        <v>38.356999999999999</v>
      </c>
      <c r="F147" s="426"/>
      <c r="G147" s="427"/>
      <c r="H147" s="427"/>
      <c r="I147" s="183"/>
      <c r="J147" s="188"/>
      <c r="K147" s="428"/>
      <c r="L147" s="429"/>
      <c r="M147" s="427"/>
      <c r="N147" s="427"/>
      <c r="O147" s="427"/>
      <c r="P147" s="428"/>
    </row>
    <row r="148" spans="1:16">
      <c r="A148" s="424">
        <v>4</v>
      </c>
      <c r="B148" s="206" t="s">
        <v>283</v>
      </c>
      <c r="C148" s="436" t="s">
        <v>286</v>
      </c>
      <c r="D148" s="209" t="s">
        <v>2</v>
      </c>
      <c r="E148" s="359">
        <v>30.9</v>
      </c>
      <c r="F148" s="426"/>
      <c r="G148" s="188"/>
      <c r="H148" s="427"/>
      <c r="I148" s="427"/>
      <c r="J148" s="183"/>
      <c r="K148" s="428"/>
      <c r="L148" s="429"/>
      <c r="M148" s="427"/>
      <c r="N148" s="427"/>
      <c r="O148" s="427"/>
      <c r="P148" s="428"/>
    </row>
    <row r="149" spans="1:16" ht="22.5">
      <c r="A149" s="424"/>
      <c r="B149" s="425"/>
      <c r="C149" s="247" t="s">
        <v>287</v>
      </c>
      <c r="D149" s="209" t="s">
        <v>75</v>
      </c>
      <c r="E149" s="246">
        <f>1.1*E148*0.15</f>
        <v>5.0985000000000005</v>
      </c>
      <c r="F149" s="426"/>
      <c r="G149" s="427"/>
      <c r="H149" s="427"/>
      <c r="I149" s="183"/>
      <c r="J149" s="188"/>
      <c r="K149" s="428"/>
      <c r="L149" s="429"/>
      <c r="M149" s="427"/>
      <c r="N149" s="427"/>
      <c r="O149" s="427"/>
      <c r="P149" s="428"/>
    </row>
    <row r="150" spans="1:16" ht="22.5">
      <c r="A150" s="184" t="s">
        <v>10</v>
      </c>
      <c r="B150" s="185" t="s">
        <v>288</v>
      </c>
      <c r="C150" s="436" t="s">
        <v>289</v>
      </c>
      <c r="D150" s="209" t="s">
        <v>75</v>
      </c>
      <c r="E150" s="359">
        <v>34.869999999999997</v>
      </c>
      <c r="F150" s="187"/>
      <c r="G150" s="188"/>
      <c r="H150" s="183"/>
      <c r="I150" s="183"/>
      <c r="J150" s="183"/>
      <c r="K150" s="189"/>
      <c r="L150" s="190"/>
      <c r="M150" s="183"/>
      <c r="N150" s="183"/>
      <c r="O150" s="183"/>
      <c r="P150" s="189"/>
    </row>
    <row r="151" spans="1:16" ht="22.5">
      <c r="A151" s="184"/>
      <c r="B151" s="185"/>
      <c r="C151" s="247" t="s">
        <v>290</v>
      </c>
      <c r="D151" s="209" t="s">
        <v>75</v>
      </c>
      <c r="E151" s="246">
        <f>E150*1.1</f>
        <v>38.356999999999999</v>
      </c>
      <c r="F151" s="187"/>
      <c r="G151" s="183"/>
      <c r="H151" s="183"/>
      <c r="I151" s="183"/>
      <c r="J151" s="183"/>
      <c r="K151" s="189"/>
      <c r="L151" s="190"/>
      <c r="M151" s="183"/>
      <c r="N151" s="183"/>
      <c r="O151" s="183"/>
      <c r="P151" s="189"/>
    </row>
    <row r="152" spans="1:16" ht="22.5">
      <c r="A152" s="184"/>
      <c r="B152" s="185"/>
      <c r="C152" s="247" t="s">
        <v>291</v>
      </c>
      <c r="D152" s="209" t="s">
        <v>76</v>
      </c>
      <c r="E152" s="246">
        <f>1.5*E150</f>
        <v>52.304999999999993</v>
      </c>
      <c r="F152" s="187"/>
      <c r="G152" s="183"/>
      <c r="H152" s="183"/>
      <c r="I152" s="183"/>
      <c r="J152" s="183"/>
      <c r="K152" s="189"/>
      <c r="L152" s="190"/>
      <c r="M152" s="183"/>
      <c r="N152" s="183"/>
      <c r="O152" s="183"/>
      <c r="P152" s="189"/>
    </row>
    <row r="153" spans="1:16" ht="22.5">
      <c r="A153" s="437"/>
      <c r="B153" s="415"/>
      <c r="C153" s="247" t="s">
        <v>292</v>
      </c>
      <c r="D153" s="209" t="s">
        <v>1</v>
      </c>
      <c r="E153" s="363">
        <f>E150/1000</f>
        <v>3.4869999999999998E-2</v>
      </c>
      <c r="F153" s="187"/>
      <c r="G153" s="183"/>
      <c r="H153" s="183"/>
      <c r="I153" s="183"/>
      <c r="J153" s="183"/>
      <c r="K153" s="189"/>
      <c r="L153" s="190"/>
      <c r="M153" s="183"/>
      <c r="N153" s="183"/>
      <c r="O153" s="183"/>
      <c r="P153" s="189"/>
    </row>
    <row r="154" spans="1:16" ht="22.5">
      <c r="A154" s="191" t="s">
        <v>11</v>
      </c>
      <c r="B154" s="141" t="s">
        <v>293</v>
      </c>
      <c r="C154" s="373" t="s">
        <v>294</v>
      </c>
      <c r="D154" s="195" t="s">
        <v>75</v>
      </c>
      <c r="E154" s="359">
        <v>34.869999999999997</v>
      </c>
      <c r="F154" s="197"/>
      <c r="G154" s="188"/>
      <c r="H154" s="193"/>
      <c r="I154" s="193"/>
      <c r="J154" s="183"/>
      <c r="K154" s="194"/>
      <c r="L154" s="198"/>
      <c r="M154" s="193"/>
      <c r="N154" s="193"/>
      <c r="O154" s="193"/>
      <c r="P154" s="194"/>
    </row>
    <row r="155" spans="1:16">
      <c r="A155" s="191"/>
      <c r="B155" s="141"/>
      <c r="C155" s="438" t="s">
        <v>295</v>
      </c>
      <c r="D155" s="195" t="s">
        <v>100</v>
      </c>
      <c r="E155" s="363">
        <f>1.05*E154*0.07</f>
        <v>2.5629450000000005</v>
      </c>
      <c r="F155" s="197"/>
      <c r="G155" s="193"/>
      <c r="H155" s="193"/>
      <c r="I155" s="193"/>
      <c r="J155" s="188"/>
      <c r="K155" s="194"/>
      <c r="L155" s="198"/>
      <c r="M155" s="193"/>
      <c r="N155" s="193"/>
      <c r="O155" s="193"/>
      <c r="P155" s="194"/>
    </row>
    <row r="156" spans="1:16">
      <c r="A156" s="200">
        <v>7</v>
      </c>
      <c r="B156" s="390" t="s">
        <v>230</v>
      </c>
      <c r="C156" s="391" t="s">
        <v>296</v>
      </c>
      <c r="D156" s="392" t="s">
        <v>75</v>
      </c>
      <c r="E156" s="182">
        <v>19.172000000000001</v>
      </c>
      <c r="F156" s="394"/>
      <c r="G156" s="439"/>
      <c r="H156" s="396"/>
      <c r="I156" s="396"/>
      <c r="J156" s="188"/>
      <c r="K156" s="397"/>
      <c r="L156" s="398"/>
      <c r="M156" s="396"/>
      <c r="N156" s="396"/>
      <c r="O156" s="396"/>
      <c r="P156" s="397"/>
    </row>
    <row r="157" spans="1:16">
      <c r="A157" s="191"/>
      <c r="B157" s="141"/>
      <c r="C157" s="196" t="s">
        <v>232</v>
      </c>
      <c r="D157" s="399" t="s">
        <v>1</v>
      </c>
      <c r="E157" s="393">
        <f>1.5*E156/5</f>
        <v>5.7516000000000007</v>
      </c>
      <c r="F157" s="394"/>
      <c r="G157" s="396"/>
      <c r="H157" s="396"/>
      <c r="I157" s="396"/>
      <c r="J157" s="188"/>
      <c r="K157" s="397"/>
      <c r="L157" s="398"/>
      <c r="M157" s="396"/>
      <c r="N157" s="396"/>
      <c r="O157" s="396"/>
      <c r="P157" s="397"/>
    </row>
    <row r="158" spans="1:16">
      <c r="A158" s="191"/>
      <c r="B158" s="141"/>
      <c r="C158" s="196" t="s">
        <v>233</v>
      </c>
      <c r="D158" s="399" t="s">
        <v>1</v>
      </c>
      <c r="E158" s="393">
        <f>(33.08*1.2)/25</f>
        <v>1.5878399999999999</v>
      </c>
      <c r="F158" s="394"/>
      <c r="G158" s="396"/>
      <c r="H158" s="396"/>
      <c r="I158" s="396"/>
      <c r="J158" s="188"/>
      <c r="K158" s="397"/>
      <c r="L158" s="398"/>
      <c r="M158" s="396"/>
      <c r="N158" s="396"/>
      <c r="O158" s="396"/>
      <c r="P158" s="397"/>
    </row>
    <row r="159" spans="1:16">
      <c r="A159" s="440" t="s">
        <v>29</v>
      </c>
      <c r="B159" s="441" t="s">
        <v>297</v>
      </c>
      <c r="C159" s="442" t="s">
        <v>298</v>
      </c>
      <c r="D159" s="392" t="s">
        <v>75</v>
      </c>
      <c r="E159" s="359">
        <v>19.172000000000001</v>
      </c>
      <c r="F159" s="443"/>
      <c r="G159" s="439"/>
      <c r="H159" s="444"/>
      <c r="I159" s="444"/>
      <c r="J159" s="188"/>
      <c r="K159" s="445"/>
      <c r="L159" s="446"/>
      <c r="M159" s="444"/>
      <c r="N159" s="444"/>
      <c r="O159" s="444"/>
      <c r="P159" s="445"/>
    </row>
    <row r="160" spans="1:16">
      <c r="A160" s="440"/>
      <c r="B160" s="441"/>
      <c r="C160" s="447" t="s">
        <v>299</v>
      </c>
      <c r="D160" s="392" t="s">
        <v>75</v>
      </c>
      <c r="E160" s="448">
        <f>1.1*E159</f>
        <v>21.089200000000002</v>
      </c>
      <c r="F160" s="443"/>
      <c r="G160" s="444"/>
      <c r="H160" s="444"/>
      <c r="I160" s="444"/>
      <c r="J160" s="188"/>
      <c r="K160" s="445"/>
      <c r="L160" s="446"/>
      <c r="M160" s="444"/>
      <c r="N160" s="444"/>
      <c r="O160" s="444"/>
      <c r="P160" s="445"/>
    </row>
    <row r="161" spans="1:16">
      <c r="A161" s="440"/>
      <c r="B161" s="441"/>
      <c r="C161" s="449" t="s">
        <v>237</v>
      </c>
      <c r="D161" s="392" t="s">
        <v>76</v>
      </c>
      <c r="E161" s="448">
        <f>(E159*6)/25</f>
        <v>4.60128</v>
      </c>
      <c r="F161" s="443"/>
      <c r="G161" s="444"/>
      <c r="H161" s="444"/>
      <c r="I161" s="444"/>
      <c r="J161" s="188"/>
      <c r="K161" s="445"/>
      <c r="L161" s="446"/>
      <c r="M161" s="444"/>
      <c r="N161" s="444"/>
      <c r="O161" s="444"/>
      <c r="P161" s="445"/>
    </row>
    <row r="162" spans="1:16">
      <c r="A162" s="440"/>
      <c r="B162" s="441"/>
      <c r="C162" s="449" t="s">
        <v>238</v>
      </c>
      <c r="D162" s="392" t="s">
        <v>76</v>
      </c>
      <c r="E162" s="448">
        <f>(E159*0.6)/2</f>
        <v>5.7515999999999998</v>
      </c>
      <c r="F162" s="443"/>
      <c r="G162" s="444"/>
      <c r="H162" s="444"/>
      <c r="I162" s="444"/>
      <c r="J162" s="188"/>
      <c r="K162" s="445"/>
      <c r="L162" s="446"/>
      <c r="M162" s="444"/>
      <c r="N162" s="444"/>
      <c r="O162" s="444"/>
      <c r="P162" s="445"/>
    </row>
    <row r="163" spans="1:16">
      <c r="A163" s="440"/>
      <c r="B163" s="441"/>
      <c r="C163" s="450" t="s">
        <v>146</v>
      </c>
      <c r="D163" s="451" t="s">
        <v>76</v>
      </c>
      <c r="E163" s="452">
        <v>1</v>
      </c>
      <c r="F163" s="443"/>
      <c r="G163" s="444"/>
      <c r="H163" s="444"/>
      <c r="I163" s="444"/>
      <c r="J163" s="188"/>
      <c r="K163" s="445"/>
      <c r="L163" s="446"/>
      <c r="M163" s="444"/>
      <c r="N163" s="444"/>
      <c r="O163" s="444"/>
      <c r="P163" s="445"/>
    </row>
    <row r="164" spans="1:16">
      <c r="A164" s="440" t="s">
        <v>33</v>
      </c>
      <c r="B164" s="441" t="s">
        <v>300</v>
      </c>
      <c r="C164" s="442" t="s">
        <v>301</v>
      </c>
      <c r="D164" s="392" t="s">
        <v>2</v>
      </c>
      <c r="E164" s="359">
        <v>39.24</v>
      </c>
      <c r="F164" s="443"/>
      <c r="G164" s="439"/>
      <c r="H164" s="444"/>
      <c r="I164" s="444"/>
      <c r="J164" s="188"/>
      <c r="K164" s="445"/>
      <c r="L164" s="446"/>
      <c r="M164" s="444"/>
      <c r="N164" s="444"/>
      <c r="O164" s="444"/>
      <c r="P164" s="445"/>
    </row>
    <row r="165" spans="1:16">
      <c r="A165" s="440"/>
      <c r="B165" s="441"/>
      <c r="C165" s="447" t="s">
        <v>299</v>
      </c>
      <c r="D165" s="392" t="s">
        <v>75</v>
      </c>
      <c r="E165" s="448">
        <f>1.1*E164*0.15</f>
        <v>6.4746000000000015</v>
      </c>
      <c r="F165" s="443"/>
      <c r="G165" s="444"/>
      <c r="H165" s="444"/>
      <c r="I165" s="444"/>
      <c r="J165" s="188"/>
      <c r="K165" s="445"/>
      <c r="L165" s="446"/>
      <c r="M165" s="444"/>
      <c r="N165" s="444"/>
      <c r="O165" s="444"/>
      <c r="P165" s="445"/>
    </row>
    <row r="166" spans="1:16">
      <c r="A166" s="440"/>
      <c r="B166" s="441"/>
      <c r="C166" s="449" t="s">
        <v>237</v>
      </c>
      <c r="D166" s="392" t="s">
        <v>76</v>
      </c>
      <c r="E166" s="448">
        <f>(E165*6)/25</f>
        <v>1.5539040000000002</v>
      </c>
      <c r="F166" s="443"/>
      <c r="G166" s="444"/>
      <c r="H166" s="444"/>
      <c r="I166" s="444"/>
      <c r="J166" s="188"/>
      <c r="K166" s="445"/>
      <c r="L166" s="446"/>
      <c r="M166" s="444"/>
      <c r="N166" s="444"/>
      <c r="O166" s="444"/>
      <c r="P166" s="445"/>
    </row>
    <row r="167" spans="1:16">
      <c r="A167" s="440"/>
      <c r="B167" s="441"/>
      <c r="C167" s="449" t="s">
        <v>238</v>
      </c>
      <c r="D167" s="392" t="s">
        <v>76</v>
      </c>
      <c r="E167" s="448">
        <f>(E165*0.6)/2</f>
        <v>1.9423800000000004</v>
      </c>
      <c r="F167" s="443"/>
      <c r="G167" s="444"/>
      <c r="H167" s="444"/>
      <c r="I167" s="444"/>
      <c r="J167" s="188"/>
      <c r="K167" s="445"/>
      <c r="L167" s="446"/>
      <c r="M167" s="444"/>
      <c r="N167" s="444"/>
      <c r="O167" s="444"/>
      <c r="P167" s="445"/>
    </row>
    <row r="168" spans="1:16">
      <c r="A168" s="440"/>
      <c r="B168" s="441"/>
      <c r="C168" s="450" t="s">
        <v>146</v>
      </c>
      <c r="D168" s="451" t="s">
        <v>76</v>
      </c>
      <c r="E168" s="452">
        <v>1</v>
      </c>
      <c r="F168" s="443"/>
      <c r="G168" s="444"/>
      <c r="H168" s="444"/>
      <c r="I168" s="444"/>
      <c r="J168" s="188"/>
      <c r="K168" s="445"/>
      <c r="L168" s="446"/>
      <c r="M168" s="444"/>
      <c r="N168" s="444"/>
      <c r="O168" s="444"/>
      <c r="P168" s="445"/>
    </row>
    <row r="169" spans="1:16" ht="22.5">
      <c r="A169" s="375">
        <v>10</v>
      </c>
      <c r="B169" s="453" t="s">
        <v>334</v>
      </c>
      <c r="C169" s="362" t="s">
        <v>335</v>
      </c>
      <c r="D169" s="209" t="s">
        <v>75</v>
      </c>
      <c r="E169" s="359">
        <v>81.010000000000005</v>
      </c>
      <c r="F169" s="187"/>
      <c r="G169" s="183"/>
      <c r="H169" s="183"/>
      <c r="I169" s="183"/>
      <c r="J169" s="183"/>
      <c r="K169" s="189"/>
      <c r="L169" s="190"/>
      <c r="M169" s="183"/>
      <c r="N169" s="183"/>
      <c r="O169" s="183"/>
      <c r="P169" s="189"/>
    </row>
    <row r="170" spans="1:16">
      <c r="A170" s="375"/>
      <c r="B170" s="361"/>
      <c r="C170" s="454" t="s">
        <v>336</v>
      </c>
      <c r="D170" s="209" t="s">
        <v>1</v>
      </c>
      <c r="E170" s="246">
        <f>0.15*E169/15</f>
        <v>0.81010000000000004</v>
      </c>
      <c r="F170" s="187"/>
      <c r="G170" s="183"/>
      <c r="H170" s="183"/>
      <c r="I170" s="183"/>
      <c r="J170" s="183"/>
      <c r="K170" s="189"/>
      <c r="L170" s="190"/>
      <c r="M170" s="183"/>
      <c r="N170" s="183"/>
      <c r="O170" s="183"/>
      <c r="P170" s="189"/>
    </row>
    <row r="171" spans="1:16">
      <c r="A171" s="375"/>
      <c r="B171" s="361"/>
      <c r="C171" s="247" t="s">
        <v>337</v>
      </c>
      <c r="D171" s="209" t="s">
        <v>1</v>
      </c>
      <c r="E171" s="455">
        <f>1*E169/25</f>
        <v>3.2404000000000002</v>
      </c>
      <c r="F171" s="187"/>
      <c r="G171" s="183"/>
      <c r="H171" s="183"/>
      <c r="I171" s="183"/>
      <c r="J171" s="183"/>
      <c r="K171" s="189"/>
      <c r="L171" s="190"/>
      <c r="M171" s="183"/>
      <c r="N171" s="183"/>
      <c r="O171" s="183"/>
      <c r="P171" s="189"/>
    </row>
    <row r="172" spans="1:16">
      <c r="A172" s="184" t="s">
        <v>114</v>
      </c>
      <c r="B172" s="185" t="s">
        <v>302</v>
      </c>
      <c r="C172" s="436" t="s">
        <v>303</v>
      </c>
      <c r="D172" s="209" t="s">
        <v>75</v>
      </c>
      <c r="E172" s="359">
        <v>81.009999999999991</v>
      </c>
      <c r="F172" s="187"/>
      <c r="G172" s="188"/>
      <c r="H172" s="183"/>
      <c r="I172" s="183"/>
      <c r="J172" s="183"/>
      <c r="K172" s="189"/>
      <c r="L172" s="190"/>
      <c r="M172" s="183"/>
      <c r="N172" s="183"/>
      <c r="O172" s="183"/>
      <c r="P172" s="189"/>
    </row>
    <row r="173" spans="1:16">
      <c r="A173" s="184"/>
      <c r="B173" s="185"/>
      <c r="C173" s="210" t="s">
        <v>304</v>
      </c>
      <c r="D173" s="209" t="s">
        <v>75</v>
      </c>
      <c r="E173" s="246">
        <f>1.05*E172</f>
        <v>85.06049999999999</v>
      </c>
      <c r="F173" s="187"/>
      <c r="G173" s="183"/>
      <c r="H173" s="183"/>
      <c r="I173" s="183"/>
      <c r="J173" s="183"/>
      <c r="K173" s="189"/>
      <c r="L173" s="190"/>
      <c r="M173" s="183"/>
      <c r="N173" s="183"/>
      <c r="O173" s="183"/>
      <c r="P173" s="189"/>
    </row>
    <row r="174" spans="1:16">
      <c r="A174" s="184"/>
      <c r="B174" s="185"/>
      <c r="C174" s="210" t="s">
        <v>305</v>
      </c>
      <c r="D174" s="209" t="s">
        <v>76</v>
      </c>
      <c r="E174" s="246">
        <f>0.3*E172/12</f>
        <v>2.0252499999999998</v>
      </c>
      <c r="F174" s="187"/>
      <c r="G174" s="183"/>
      <c r="H174" s="183"/>
      <c r="I174" s="183"/>
      <c r="J174" s="183"/>
      <c r="K174" s="189"/>
      <c r="L174" s="190"/>
      <c r="M174" s="183"/>
      <c r="N174" s="183"/>
      <c r="O174" s="183"/>
      <c r="P174" s="189"/>
    </row>
    <row r="175" spans="1:16">
      <c r="A175" s="184"/>
      <c r="B175" s="185"/>
      <c r="C175" s="210" t="s">
        <v>306</v>
      </c>
      <c r="D175" s="209" t="s">
        <v>74</v>
      </c>
      <c r="E175" s="246">
        <f>E172/2</f>
        <v>40.504999999999995</v>
      </c>
      <c r="F175" s="187"/>
      <c r="G175" s="183"/>
      <c r="H175" s="183"/>
      <c r="I175" s="183"/>
      <c r="J175" s="183"/>
      <c r="K175" s="189"/>
      <c r="L175" s="190"/>
      <c r="M175" s="183"/>
      <c r="N175" s="183"/>
      <c r="O175" s="183"/>
      <c r="P175" s="189"/>
    </row>
    <row r="176" spans="1:16">
      <c r="A176" s="184" t="s">
        <v>115</v>
      </c>
      <c r="B176" s="185" t="s">
        <v>307</v>
      </c>
      <c r="C176" s="436" t="s">
        <v>308</v>
      </c>
      <c r="D176" s="209" t="s">
        <v>2</v>
      </c>
      <c r="E176" s="359">
        <v>95.4</v>
      </c>
      <c r="F176" s="187"/>
      <c r="G176" s="188"/>
      <c r="H176" s="183"/>
      <c r="I176" s="183"/>
      <c r="J176" s="183"/>
      <c r="K176" s="189"/>
      <c r="L176" s="190"/>
      <c r="M176" s="183"/>
      <c r="N176" s="183"/>
      <c r="O176" s="183"/>
      <c r="P176" s="189"/>
    </row>
    <row r="177" spans="1:16">
      <c r="A177" s="184"/>
      <c r="B177" s="185"/>
      <c r="C177" s="210" t="s">
        <v>309</v>
      </c>
      <c r="D177" s="209" t="s">
        <v>2</v>
      </c>
      <c r="E177" s="246">
        <f>1.05*E176</f>
        <v>100.17000000000002</v>
      </c>
      <c r="F177" s="187"/>
      <c r="G177" s="183"/>
      <c r="H177" s="183"/>
      <c r="I177" s="183"/>
      <c r="J177" s="183"/>
      <c r="K177" s="189"/>
      <c r="L177" s="190"/>
      <c r="M177" s="183"/>
      <c r="N177" s="183"/>
      <c r="O177" s="183"/>
      <c r="P177" s="189"/>
    </row>
    <row r="178" spans="1:16">
      <c r="A178" s="184"/>
      <c r="B178" s="185"/>
      <c r="C178" s="210" t="s">
        <v>267</v>
      </c>
      <c r="D178" s="209" t="s">
        <v>76</v>
      </c>
      <c r="E178" s="246">
        <f>E176/0.4</f>
        <v>238.5</v>
      </c>
      <c r="F178" s="187"/>
      <c r="G178" s="183"/>
      <c r="H178" s="183"/>
      <c r="I178" s="183"/>
      <c r="J178" s="183"/>
      <c r="K178" s="189"/>
      <c r="L178" s="190"/>
      <c r="M178" s="183"/>
      <c r="N178" s="183"/>
      <c r="O178" s="183"/>
      <c r="P178" s="189"/>
    </row>
    <row r="179" spans="1:16">
      <c r="A179" s="184"/>
      <c r="B179" s="185"/>
      <c r="C179" s="389" t="s">
        <v>268</v>
      </c>
      <c r="D179" s="209" t="s">
        <v>76</v>
      </c>
      <c r="E179" s="246">
        <f>(E176*0.15)*0.1/2.5</f>
        <v>0.57240000000000002</v>
      </c>
      <c r="F179" s="187"/>
      <c r="G179" s="183"/>
      <c r="H179" s="183"/>
      <c r="I179" s="183"/>
      <c r="J179" s="183"/>
      <c r="K179" s="189"/>
      <c r="L179" s="190"/>
      <c r="M179" s="183"/>
      <c r="N179" s="183"/>
      <c r="O179" s="183"/>
      <c r="P179" s="189"/>
    </row>
    <row r="180" spans="1:16">
      <c r="A180" s="184"/>
      <c r="B180" s="185"/>
      <c r="C180" s="210" t="s">
        <v>93</v>
      </c>
      <c r="D180" s="209" t="s">
        <v>2</v>
      </c>
      <c r="E180" s="246">
        <f>0.03*E176</f>
        <v>2.8620000000000001</v>
      </c>
      <c r="F180" s="187"/>
      <c r="G180" s="183"/>
      <c r="H180" s="183"/>
      <c r="I180" s="183"/>
      <c r="J180" s="183"/>
      <c r="K180" s="189"/>
      <c r="L180" s="190"/>
      <c r="M180" s="183"/>
      <c r="N180" s="183"/>
      <c r="O180" s="183"/>
      <c r="P180" s="189"/>
    </row>
    <row r="181" spans="1:16">
      <c r="A181" s="184"/>
      <c r="B181" s="185"/>
      <c r="C181" s="456" t="s">
        <v>310</v>
      </c>
      <c r="D181" s="209" t="s">
        <v>76</v>
      </c>
      <c r="E181" s="246">
        <f>(E176*0.2*0.2)/2.7</f>
        <v>1.4133333333333336</v>
      </c>
      <c r="F181" s="187"/>
      <c r="G181" s="183"/>
      <c r="H181" s="183"/>
      <c r="I181" s="183"/>
      <c r="J181" s="183"/>
      <c r="K181" s="189"/>
      <c r="L181" s="190"/>
      <c r="M181" s="183"/>
      <c r="N181" s="183"/>
      <c r="O181" s="183"/>
      <c r="P181" s="189"/>
    </row>
    <row r="182" spans="1:16" ht="22.5">
      <c r="A182" s="184"/>
      <c r="B182" s="185"/>
      <c r="C182" s="247" t="s">
        <v>94</v>
      </c>
      <c r="D182" s="209" t="s">
        <v>95</v>
      </c>
      <c r="E182" s="363">
        <f>0.1*E176</f>
        <v>9.5400000000000009</v>
      </c>
      <c r="F182" s="187"/>
      <c r="G182" s="183"/>
      <c r="H182" s="183"/>
      <c r="I182" s="183"/>
      <c r="J182" s="183"/>
      <c r="K182" s="189"/>
      <c r="L182" s="190"/>
      <c r="M182" s="183"/>
      <c r="N182" s="183"/>
      <c r="O182" s="183"/>
      <c r="P182" s="189"/>
    </row>
    <row r="183" spans="1:16">
      <c r="A183" s="184" t="s">
        <v>116</v>
      </c>
      <c r="B183" s="185" t="s">
        <v>27</v>
      </c>
      <c r="C183" s="436" t="s">
        <v>311</v>
      </c>
      <c r="D183" s="209" t="s">
        <v>2</v>
      </c>
      <c r="E183" s="359">
        <v>11</v>
      </c>
      <c r="F183" s="187"/>
      <c r="G183" s="188"/>
      <c r="H183" s="183"/>
      <c r="I183" s="183"/>
      <c r="J183" s="183"/>
      <c r="K183" s="189"/>
      <c r="L183" s="190"/>
      <c r="M183" s="183"/>
      <c r="N183" s="183"/>
      <c r="O183" s="183"/>
      <c r="P183" s="189"/>
    </row>
    <row r="184" spans="1:16">
      <c r="A184" s="184"/>
      <c r="B184" s="185"/>
      <c r="C184" s="210" t="s">
        <v>312</v>
      </c>
      <c r="D184" s="209" t="s">
        <v>2</v>
      </c>
      <c r="E184" s="246">
        <f>1.05*E183</f>
        <v>11.55</v>
      </c>
      <c r="F184" s="187"/>
      <c r="G184" s="183"/>
      <c r="H184" s="183"/>
      <c r="I184" s="183"/>
      <c r="J184" s="183"/>
      <c r="K184" s="189"/>
      <c r="L184" s="190"/>
      <c r="M184" s="183"/>
      <c r="N184" s="183"/>
      <c r="O184" s="183"/>
      <c r="P184" s="189"/>
    </row>
    <row r="185" spans="1:16">
      <c r="A185" s="184"/>
      <c r="B185" s="185"/>
      <c r="C185" s="210" t="s">
        <v>267</v>
      </c>
      <c r="D185" s="209" t="s">
        <v>76</v>
      </c>
      <c r="E185" s="246">
        <f>E183/0.2</f>
        <v>55</v>
      </c>
      <c r="F185" s="187"/>
      <c r="G185" s="183"/>
      <c r="H185" s="183"/>
      <c r="I185" s="183"/>
      <c r="J185" s="183"/>
      <c r="K185" s="189"/>
      <c r="L185" s="190"/>
      <c r="M185" s="183"/>
      <c r="N185" s="183"/>
      <c r="O185" s="183"/>
      <c r="P185" s="189"/>
    </row>
    <row r="186" spans="1:16">
      <c r="A186" s="364"/>
      <c r="B186" s="365"/>
      <c r="C186" s="334" t="s">
        <v>332</v>
      </c>
      <c r="D186" s="366"/>
      <c r="E186" s="367"/>
      <c r="F186" s="368"/>
      <c r="G186" s="369"/>
      <c r="H186" s="369"/>
      <c r="I186" s="369"/>
      <c r="J186" s="369"/>
      <c r="K186" s="370"/>
      <c r="L186" s="371"/>
      <c r="M186" s="369"/>
      <c r="N186" s="369"/>
      <c r="O186" s="369"/>
      <c r="P186" s="370"/>
    </row>
    <row r="187" spans="1:16" ht="57" customHeight="1">
      <c r="A187" s="200">
        <v>1</v>
      </c>
      <c r="B187" s="372" t="s">
        <v>209</v>
      </c>
      <c r="C187" s="457" t="s">
        <v>320</v>
      </c>
      <c r="D187" s="195" t="s">
        <v>75</v>
      </c>
      <c r="E187" s="458">
        <v>55.23</v>
      </c>
      <c r="F187" s="197"/>
      <c r="G187" s="459"/>
      <c r="H187" s="193"/>
      <c r="I187" s="193"/>
      <c r="J187" s="193"/>
      <c r="K187" s="194"/>
      <c r="L187" s="198"/>
      <c r="M187" s="193"/>
      <c r="N187" s="193"/>
      <c r="O187" s="193"/>
      <c r="P187" s="194"/>
    </row>
    <row r="188" spans="1:16">
      <c r="A188" s="460"/>
      <c r="B188" s="195"/>
      <c r="C188" s="196" t="s">
        <v>210</v>
      </c>
      <c r="D188" s="399" t="s">
        <v>1</v>
      </c>
      <c r="E188" s="403">
        <f>0.25*E187</f>
        <v>13.807499999999999</v>
      </c>
      <c r="F188" s="394"/>
      <c r="G188" s="396"/>
      <c r="H188" s="396"/>
      <c r="I188" s="396"/>
      <c r="J188" s="396"/>
      <c r="K188" s="397"/>
      <c r="L188" s="398"/>
      <c r="M188" s="396"/>
      <c r="N188" s="396"/>
      <c r="O188" s="396"/>
      <c r="P188" s="397"/>
    </row>
    <row r="189" spans="1:16">
      <c r="A189" s="460"/>
      <c r="B189" s="195"/>
      <c r="C189" s="196" t="s">
        <v>211</v>
      </c>
      <c r="D189" s="399" t="s">
        <v>95</v>
      </c>
      <c r="E189" s="403">
        <f>E188*3/30</f>
        <v>1.3807499999999999</v>
      </c>
      <c r="F189" s="394"/>
      <c r="G189" s="396"/>
      <c r="H189" s="396"/>
      <c r="I189" s="396"/>
      <c r="J189" s="396"/>
      <c r="K189" s="397"/>
      <c r="L189" s="398"/>
      <c r="M189" s="396"/>
      <c r="N189" s="396"/>
      <c r="O189" s="396"/>
      <c r="P189" s="397"/>
    </row>
    <row r="190" spans="1:16">
      <c r="A190" s="460"/>
      <c r="B190" s="195"/>
      <c r="C190" s="196" t="s">
        <v>212</v>
      </c>
      <c r="D190" s="399" t="s">
        <v>213</v>
      </c>
      <c r="E190" s="403">
        <f>E188*10/100</f>
        <v>1.3807499999999999</v>
      </c>
      <c r="F190" s="394"/>
      <c r="G190" s="396"/>
      <c r="H190" s="396"/>
      <c r="I190" s="396"/>
      <c r="J190" s="396"/>
      <c r="K190" s="397"/>
      <c r="L190" s="398"/>
      <c r="M190" s="396"/>
      <c r="N190" s="396"/>
      <c r="O190" s="396"/>
      <c r="P190" s="397"/>
    </row>
    <row r="191" spans="1:16">
      <c r="A191" s="460"/>
      <c r="B191" s="195"/>
      <c r="C191" s="401" t="s">
        <v>214</v>
      </c>
      <c r="D191" s="399" t="s">
        <v>1</v>
      </c>
      <c r="E191" s="403">
        <f>1*E187</f>
        <v>55.23</v>
      </c>
      <c r="F191" s="394"/>
      <c r="G191" s="396"/>
      <c r="H191" s="396"/>
      <c r="I191" s="396"/>
      <c r="J191" s="396"/>
      <c r="K191" s="397"/>
      <c r="L191" s="398"/>
      <c r="M191" s="396"/>
      <c r="N191" s="396"/>
      <c r="O191" s="396"/>
      <c r="P191" s="397"/>
    </row>
    <row r="192" spans="1:16" ht="22.5">
      <c r="A192" s="200"/>
      <c r="B192" s="195"/>
      <c r="C192" s="211" t="s">
        <v>215</v>
      </c>
      <c r="D192" s="195" t="s">
        <v>216</v>
      </c>
      <c r="E192" s="458">
        <f>(E187*1*1.1)/7.14</f>
        <v>8.5088235294117656</v>
      </c>
      <c r="F192" s="197"/>
      <c r="G192" s="193"/>
      <c r="H192" s="193"/>
      <c r="I192" s="193"/>
      <c r="J192" s="193"/>
      <c r="K192" s="194"/>
      <c r="L192" s="198"/>
      <c r="M192" s="193"/>
      <c r="N192" s="193"/>
      <c r="O192" s="396"/>
      <c r="P192" s="397"/>
    </row>
    <row r="193" spans="1:16">
      <c r="A193" s="200"/>
      <c r="B193" s="195"/>
      <c r="C193" s="461" t="s">
        <v>217</v>
      </c>
      <c r="D193" s="402" t="s">
        <v>175</v>
      </c>
      <c r="E193" s="403">
        <f>(E187*10*1.1)/100</f>
        <v>6.0752999999999995</v>
      </c>
      <c r="F193" s="394"/>
      <c r="G193" s="396"/>
      <c r="H193" s="396"/>
      <c r="I193" s="396"/>
      <c r="J193" s="396"/>
      <c r="K193" s="397"/>
      <c r="L193" s="398"/>
      <c r="M193" s="396"/>
      <c r="N193" s="396"/>
      <c r="O193" s="396"/>
      <c r="P193" s="397"/>
    </row>
    <row r="194" spans="1:16" ht="22.5">
      <c r="A194" s="200"/>
      <c r="B194" s="192"/>
      <c r="C194" s="461" t="s">
        <v>218</v>
      </c>
      <c r="D194" s="399" t="s">
        <v>219</v>
      </c>
      <c r="E194" s="393">
        <f>((E187*2.2*1.1)/3.6)</f>
        <v>37.12683333333333</v>
      </c>
      <c r="F194" s="394"/>
      <c r="G194" s="396"/>
      <c r="H194" s="396"/>
      <c r="I194" s="396"/>
      <c r="J194" s="396"/>
      <c r="K194" s="397"/>
      <c r="L194" s="398"/>
      <c r="M194" s="396"/>
      <c r="N194" s="396"/>
      <c r="O194" s="396"/>
      <c r="P194" s="397"/>
    </row>
    <row r="195" spans="1:16" ht="22.5">
      <c r="A195" s="200"/>
      <c r="B195" s="195"/>
      <c r="C195" s="461" t="s">
        <v>220</v>
      </c>
      <c r="D195" s="402" t="s">
        <v>175</v>
      </c>
      <c r="E195" s="403">
        <f>(E187*29*1.1)/100</f>
        <v>17.618369999999999</v>
      </c>
      <c r="F195" s="394"/>
      <c r="G195" s="396"/>
      <c r="H195" s="396"/>
      <c r="I195" s="396"/>
      <c r="J195" s="396"/>
      <c r="K195" s="397"/>
      <c r="L195" s="398"/>
      <c r="M195" s="396"/>
      <c r="N195" s="396"/>
      <c r="O195" s="396"/>
      <c r="P195" s="397"/>
    </row>
    <row r="196" spans="1:16" ht="22.5">
      <c r="A196" s="200"/>
      <c r="B196" s="195"/>
      <c r="C196" s="461" t="s">
        <v>220</v>
      </c>
      <c r="D196" s="402" t="s">
        <v>175</v>
      </c>
      <c r="E196" s="403">
        <f>(E187*29*1.1)/100</f>
        <v>17.618369999999999</v>
      </c>
      <c r="F196" s="394"/>
      <c r="G196" s="396"/>
      <c r="H196" s="396"/>
      <c r="I196" s="396"/>
      <c r="J196" s="396"/>
      <c r="K196" s="397"/>
      <c r="L196" s="398"/>
      <c r="M196" s="396"/>
      <c r="N196" s="396"/>
      <c r="O196" s="396"/>
      <c r="P196" s="397"/>
    </row>
    <row r="197" spans="1:16" ht="22.5">
      <c r="A197" s="200"/>
      <c r="B197" s="192"/>
      <c r="C197" s="211" t="s">
        <v>221</v>
      </c>
      <c r="D197" s="399" t="s">
        <v>1</v>
      </c>
      <c r="E197" s="403">
        <f>(E187*1*1.1)/45</f>
        <v>1.3500666666666667</v>
      </c>
      <c r="F197" s="394"/>
      <c r="G197" s="396"/>
      <c r="H197" s="396"/>
      <c r="I197" s="396"/>
      <c r="J197" s="396"/>
      <c r="K197" s="397"/>
      <c r="L197" s="398"/>
      <c r="M197" s="396"/>
      <c r="N197" s="396"/>
      <c r="O197" s="396"/>
      <c r="P197" s="397"/>
    </row>
    <row r="198" spans="1:16">
      <c r="A198" s="200"/>
      <c r="B198" s="195"/>
      <c r="C198" s="401" t="s">
        <v>222</v>
      </c>
      <c r="D198" s="399" t="s">
        <v>1</v>
      </c>
      <c r="E198" s="403">
        <f>(E187*2*1.1)/25</f>
        <v>4.8602400000000001</v>
      </c>
      <c r="F198" s="394"/>
      <c r="G198" s="396"/>
      <c r="H198" s="396"/>
      <c r="I198" s="396"/>
      <c r="J198" s="396"/>
      <c r="K198" s="397"/>
      <c r="L198" s="398"/>
      <c r="M198" s="396"/>
      <c r="N198" s="396"/>
      <c r="O198" s="396"/>
      <c r="P198" s="397"/>
    </row>
    <row r="199" spans="1:16" ht="22.5">
      <c r="A199" s="200">
        <v>2</v>
      </c>
      <c r="B199" s="372" t="s">
        <v>243</v>
      </c>
      <c r="C199" s="373" t="s">
        <v>354</v>
      </c>
      <c r="D199" s="195" t="s">
        <v>77</v>
      </c>
      <c r="E199" s="182">
        <v>23.8</v>
      </c>
      <c r="F199" s="197"/>
      <c r="G199" s="183"/>
      <c r="H199" s="193"/>
      <c r="I199" s="193"/>
      <c r="J199" s="193"/>
      <c r="K199" s="194"/>
      <c r="L199" s="198"/>
      <c r="M199" s="193"/>
      <c r="N199" s="193"/>
      <c r="O199" s="193"/>
      <c r="P199" s="194"/>
    </row>
    <row r="200" spans="1:16">
      <c r="A200" s="200"/>
      <c r="B200" s="192"/>
      <c r="C200" s="196" t="s">
        <v>244</v>
      </c>
      <c r="D200" s="374" t="s">
        <v>1</v>
      </c>
      <c r="E200" s="182">
        <f>0.7*1.1*E199/3</f>
        <v>6.1086666666666671</v>
      </c>
      <c r="F200" s="197"/>
      <c r="G200" s="193"/>
      <c r="H200" s="193"/>
      <c r="I200" s="193"/>
      <c r="J200" s="193"/>
      <c r="K200" s="194"/>
      <c r="L200" s="198"/>
      <c r="M200" s="193"/>
      <c r="N200" s="193"/>
      <c r="O200" s="193"/>
      <c r="P200" s="194"/>
    </row>
    <row r="201" spans="1:16">
      <c r="A201" s="200"/>
      <c r="B201" s="192"/>
      <c r="C201" s="196" t="s">
        <v>245</v>
      </c>
      <c r="D201" s="374" t="s">
        <v>1</v>
      </c>
      <c r="E201" s="182">
        <f>E200*10</f>
        <v>61.086666666666673</v>
      </c>
      <c r="F201" s="197"/>
      <c r="G201" s="193"/>
      <c r="H201" s="193"/>
      <c r="I201" s="193"/>
      <c r="J201" s="193"/>
      <c r="K201" s="194"/>
      <c r="L201" s="198"/>
      <c r="M201" s="193"/>
      <c r="N201" s="193"/>
      <c r="O201" s="193"/>
      <c r="P201" s="194"/>
    </row>
    <row r="202" spans="1:16">
      <c r="A202" s="200"/>
      <c r="B202" s="192"/>
      <c r="C202" s="196" t="s">
        <v>246</v>
      </c>
      <c r="D202" s="374" t="s">
        <v>1</v>
      </c>
      <c r="E202" s="182">
        <f>E200*3/30</f>
        <v>0.61086666666666667</v>
      </c>
      <c r="F202" s="197"/>
      <c r="G202" s="193"/>
      <c r="H202" s="193"/>
      <c r="I202" s="193"/>
      <c r="J202" s="193"/>
      <c r="K202" s="194"/>
      <c r="L202" s="198"/>
      <c r="M202" s="193"/>
      <c r="N202" s="193"/>
      <c r="O202" s="193"/>
      <c r="P202" s="194"/>
    </row>
    <row r="203" spans="1:16">
      <c r="A203" s="200"/>
      <c r="B203" s="192"/>
      <c r="C203" s="196" t="s">
        <v>247</v>
      </c>
      <c r="D203" s="374" t="s">
        <v>1</v>
      </c>
      <c r="E203" s="182">
        <f>2*1.1*E199/3</f>
        <v>17.453333333333337</v>
      </c>
      <c r="F203" s="197"/>
      <c r="G203" s="193"/>
      <c r="H203" s="193"/>
      <c r="I203" s="193"/>
      <c r="J203" s="193"/>
      <c r="K203" s="194"/>
      <c r="L203" s="198"/>
      <c r="M203" s="193"/>
      <c r="N203" s="193"/>
      <c r="O203" s="193"/>
      <c r="P203" s="194"/>
    </row>
    <row r="204" spans="1:16">
      <c r="A204" s="200"/>
      <c r="B204" s="192"/>
      <c r="C204" s="196" t="s">
        <v>248</v>
      </c>
      <c r="D204" s="374" t="s">
        <v>1</v>
      </c>
      <c r="E204" s="182">
        <f>E199/10</f>
        <v>2.38</v>
      </c>
      <c r="F204" s="197"/>
      <c r="G204" s="193"/>
      <c r="H204" s="193"/>
      <c r="I204" s="193"/>
      <c r="J204" s="193"/>
      <c r="K204" s="194"/>
      <c r="L204" s="198"/>
      <c r="M204" s="193"/>
      <c r="N204" s="193"/>
      <c r="O204" s="193"/>
      <c r="P204" s="194"/>
    </row>
    <row r="205" spans="1:16">
      <c r="A205" s="200"/>
      <c r="B205" s="192"/>
      <c r="C205" s="196" t="s">
        <v>249</v>
      </c>
      <c r="D205" s="374" t="s">
        <v>1</v>
      </c>
      <c r="E205" s="363">
        <f>E203*0.7*1.1</f>
        <v>13.439066666666669</v>
      </c>
      <c r="F205" s="197"/>
      <c r="G205" s="193"/>
      <c r="H205" s="193"/>
      <c r="I205" s="195"/>
      <c r="J205" s="193"/>
      <c r="K205" s="194"/>
      <c r="L205" s="198"/>
      <c r="M205" s="193"/>
      <c r="N205" s="193"/>
      <c r="O205" s="193"/>
      <c r="P205" s="194"/>
    </row>
    <row r="206" spans="1:16">
      <c r="A206" s="200"/>
      <c r="B206" s="192"/>
      <c r="C206" s="196" t="s">
        <v>245</v>
      </c>
      <c r="D206" s="374" t="s">
        <v>1</v>
      </c>
      <c r="E206" s="182">
        <f>E205*2</f>
        <v>26.878133333333338</v>
      </c>
      <c r="F206" s="197"/>
      <c r="G206" s="193"/>
      <c r="H206" s="193"/>
      <c r="I206" s="193"/>
      <c r="J206" s="193"/>
      <c r="K206" s="194"/>
      <c r="L206" s="198"/>
      <c r="M206" s="193"/>
      <c r="N206" s="193"/>
      <c r="O206" s="193"/>
      <c r="P206" s="194"/>
    </row>
    <row r="207" spans="1:16" ht="22.5">
      <c r="A207" s="200"/>
      <c r="B207" s="192"/>
      <c r="C207" s="211" t="s">
        <v>250</v>
      </c>
      <c r="D207" s="195" t="s">
        <v>175</v>
      </c>
      <c r="E207" s="182">
        <f>6*E199/100</f>
        <v>1.4280000000000002</v>
      </c>
      <c r="F207" s="197"/>
      <c r="G207" s="193"/>
      <c r="H207" s="193"/>
      <c r="I207" s="193"/>
      <c r="J207" s="193"/>
      <c r="K207" s="194"/>
      <c r="L207" s="198"/>
      <c r="M207" s="193"/>
      <c r="N207" s="193"/>
      <c r="O207" s="193"/>
      <c r="P207" s="194"/>
    </row>
    <row r="208" spans="1:16" ht="22.5">
      <c r="A208" s="200"/>
      <c r="B208" s="192"/>
      <c r="C208" s="211" t="s">
        <v>251</v>
      </c>
      <c r="D208" s="195" t="s">
        <v>1</v>
      </c>
      <c r="E208" s="182">
        <f>1*E199</f>
        <v>23.8</v>
      </c>
      <c r="F208" s="197"/>
      <c r="G208" s="193"/>
      <c r="H208" s="193"/>
      <c r="I208" s="195"/>
      <c r="J208" s="193"/>
      <c r="K208" s="194"/>
      <c r="L208" s="198"/>
      <c r="M208" s="193"/>
      <c r="N208" s="193"/>
      <c r="O208" s="193"/>
      <c r="P208" s="194"/>
    </row>
    <row r="209" spans="1:16" ht="22.5">
      <c r="A209" s="200"/>
      <c r="B209" s="192"/>
      <c r="C209" s="211" t="s">
        <v>250</v>
      </c>
      <c r="D209" s="195" t="s">
        <v>175</v>
      </c>
      <c r="E209" s="182">
        <f>4*E208/100</f>
        <v>0.95200000000000007</v>
      </c>
      <c r="F209" s="197"/>
      <c r="G209" s="193"/>
      <c r="H209" s="193"/>
      <c r="I209" s="193"/>
      <c r="J209" s="193"/>
      <c r="K209" s="194"/>
      <c r="L209" s="198"/>
      <c r="M209" s="193"/>
      <c r="N209" s="193"/>
      <c r="O209" s="193"/>
      <c r="P209" s="194"/>
    </row>
    <row r="210" spans="1:16" ht="22.5">
      <c r="A210" s="200"/>
      <c r="B210" s="192"/>
      <c r="C210" s="211" t="s">
        <v>252</v>
      </c>
      <c r="D210" s="195" t="s">
        <v>219</v>
      </c>
      <c r="E210" s="182">
        <f>((E199*1.1)/3.6)</f>
        <v>7.272222222222223</v>
      </c>
      <c r="F210" s="197"/>
      <c r="G210" s="193"/>
      <c r="H210" s="193"/>
      <c r="I210" s="193"/>
      <c r="J210" s="193"/>
      <c r="K210" s="194"/>
      <c r="L210" s="198"/>
      <c r="M210" s="193"/>
      <c r="N210" s="193"/>
      <c r="O210" s="193"/>
      <c r="P210" s="194"/>
    </row>
    <row r="211" spans="1:16" ht="22.5">
      <c r="A211" s="200"/>
      <c r="B211" s="192"/>
      <c r="C211" s="211" t="s">
        <v>253</v>
      </c>
      <c r="D211" s="195" t="s">
        <v>254</v>
      </c>
      <c r="E211" s="182">
        <f>24*E199/100</f>
        <v>5.7120000000000006</v>
      </c>
      <c r="F211" s="197"/>
      <c r="G211" s="193"/>
      <c r="H211" s="193"/>
      <c r="I211" s="193"/>
      <c r="J211" s="193"/>
      <c r="K211" s="194"/>
      <c r="L211" s="198"/>
      <c r="M211" s="193"/>
      <c r="N211" s="193"/>
      <c r="O211" s="193"/>
      <c r="P211" s="194"/>
    </row>
    <row r="212" spans="1:16" ht="22.5">
      <c r="A212" s="200"/>
      <c r="B212" s="192"/>
      <c r="C212" s="211" t="s">
        <v>255</v>
      </c>
      <c r="D212" s="195" t="s">
        <v>1</v>
      </c>
      <c r="E212" s="182">
        <f>(E199*1*1.1)/90</f>
        <v>0.29088888888888892</v>
      </c>
      <c r="F212" s="197"/>
      <c r="G212" s="193"/>
      <c r="H212" s="193"/>
      <c r="I212" s="193"/>
      <c r="J212" s="193"/>
      <c r="K212" s="194"/>
      <c r="L212" s="198"/>
      <c r="M212" s="193"/>
      <c r="N212" s="193"/>
      <c r="O212" s="193"/>
      <c r="P212" s="194"/>
    </row>
    <row r="213" spans="1:16">
      <c r="A213" s="200"/>
      <c r="B213" s="192"/>
      <c r="C213" s="196" t="s">
        <v>222</v>
      </c>
      <c r="D213" s="195" t="s">
        <v>1</v>
      </c>
      <c r="E213" s="182">
        <f>(E199*0.3*1.1)/25</f>
        <v>0.31415999999999999</v>
      </c>
      <c r="F213" s="197"/>
      <c r="G213" s="193"/>
      <c r="H213" s="193"/>
      <c r="I213" s="193"/>
      <c r="J213" s="193"/>
      <c r="K213" s="194"/>
      <c r="L213" s="198"/>
      <c r="M213" s="193"/>
      <c r="N213" s="193"/>
      <c r="O213" s="193"/>
      <c r="P213" s="194"/>
    </row>
    <row r="214" spans="1:16">
      <c r="A214" s="382">
        <v>3</v>
      </c>
      <c r="B214" s="206" t="s">
        <v>27</v>
      </c>
      <c r="C214" s="383" t="s">
        <v>227</v>
      </c>
      <c r="D214" s="209" t="s">
        <v>75</v>
      </c>
      <c r="E214" s="246">
        <v>134.26</v>
      </c>
      <c r="F214" s="384"/>
      <c r="G214" s="188"/>
      <c r="H214" s="188"/>
      <c r="I214" s="188"/>
      <c r="J214" s="188"/>
      <c r="K214" s="207"/>
      <c r="L214" s="208"/>
      <c r="M214" s="188"/>
      <c r="N214" s="188"/>
      <c r="O214" s="188"/>
      <c r="P214" s="207"/>
    </row>
    <row r="215" spans="1:16">
      <c r="A215" s="382"/>
      <c r="B215" s="385"/>
      <c r="C215" s="210" t="s">
        <v>89</v>
      </c>
      <c r="D215" s="209" t="s">
        <v>1</v>
      </c>
      <c r="E215" s="246">
        <f>1*E214/25</f>
        <v>5.3704000000000001</v>
      </c>
      <c r="F215" s="384"/>
      <c r="G215" s="188"/>
      <c r="H215" s="188"/>
      <c r="I215" s="183"/>
      <c r="J215" s="188"/>
      <c r="K215" s="207"/>
      <c r="L215" s="208"/>
      <c r="M215" s="188"/>
      <c r="N215" s="188"/>
      <c r="O215" s="188"/>
      <c r="P215" s="207"/>
    </row>
    <row r="216" spans="1:16" ht="22.5">
      <c r="A216" s="382"/>
      <c r="B216" s="385"/>
      <c r="C216" s="247" t="s">
        <v>90</v>
      </c>
      <c r="D216" s="209" t="s">
        <v>1</v>
      </c>
      <c r="E216" s="246">
        <f>0.5*E214/28</f>
        <v>2.3975</v>
      </c>
      <c r="F216" s="384"/>
      <c r="G216" s="188"/>
      <c r="H216" s="188"/>
      <c r="I216" s="183"/>
      <c r="J216" s="188"/>
      <c r="K216" s="207"/>
      <c r="L216" s="208"/>
      <c r="M216" s="188"/>
      <c r="N216" s="188"/>
      <c r="O216" s="188"/>
      <c r="P216" s="207"/>
    </row>
    <row r="217" spans="1:16">
      <c r="A217" s="382"/>
      <c r="B217" s="385"/>
      <c r="C217" s="210" t="s">
        <v>91</v>
      </c>
      <c r="D217" s="209" t="s">
        <v>1</v>
      </c>
      <c r="E217" s="246">
        <f>0.15*E214/15</f>
        <v>1.3426</v>
      </c>
      <c r="F217" s="384"/>
      <c r="G217" s="188"/>
      <c r="H217" s="188"/>
      <c r="I217" s="183"/>
      <c r="J217" s="188"/>
      <c r="K217" s="207"/>
      <c r="L217" s="208"/>
      <c r="M217" s="188"/>
      <c r="N217" s="188"/>
      <c r="O217" s="188"/>
      <c r="P217" s="207"/>
    </row>
    <row r="218" spans="1:16">
      <c r="A218" s="382"/>
      <c r="B218" s="385"/>
      <c r="C218" s="210" t="s">
        <v>92</v>
      </c>
      <c r="D218" s="209" t="s">
        <v>1</v>
      </c>
      <c r="E218" s="246">
        <f>E214*0.3/3</f>
        <v>13.426</v>
      </c>
      <c r="F218" s="384"/>
      <c r="G218" s="188"/>
      <c r="H218" s="188"/>
      <c r="I218" s="183"/>
      <c r="J218" s="188"/>
      <c r="K218" s="207"/>
      <c r="L218" s="208"/>
      <c r="M218" s="188"/>
      <c r="N218" s="188"/>
      <c r="O218" s="188"/>
      <c r="P218" s="207"/>
    </row>
    <row r="219" spans="1:16">
      <c r="A219" s="382"/>
      <c r="B219" s="385"/>
      <c r="C219" s="210" t="s">
        <v>93</v>
      </c>
      <c r="D219" s="209" t="s">
        <v>2</v>
      </c>
      <c r="E219" s="246">
        <f>0.015*E214</f>
        <v>2.0138999999999996</v>
      </c>
      <c r="F219" s="384"/>
      <c r="G219" s="188"/>
      <c r="H219" s="188"/>
      <c r="I219" s="183"/>
      <c r="J219" s="188"/>
      <c r="K219" s="207"/>
      <c r="L219" s="208"/>
      <c r="M219" s="188"/>
      <c r="N219" s="188"/>
      <c r="O219" s="188"/>
      <c r="P219" s="207"/>
    </row>
    <row r="220" spans="1:16">
      <c r="A220" s="382">
        <v>4</v>
      </c>
      <c r="B220" s="206" t="s">
        <v>27</v>
      </c>
      <c r="C220" s="386" t="s">
        <v>228</v>
      </c>
      <c r="D220" s="209" t="s">
        <v>75</v>
      </c>
      <c r="E220" s="246">
        <f>E214-E228</f>
        <v>100.66</v>
      </c>
      <c r="F220" s="384"/>
      <c r="G220" s="188"/>
      <c r="H220" s="188"/>
      <c r="I220" s="188"/>
      <c r="J220" s="188"/>
      <c r="K220" s="207"/>
      <c r="L220" s="208"/>
      <c r="M220" s="188"/>
      <c r="N220" s="188"/>
      <c r="O220" s="188"/>
      <c r="P220" s="207"/>
    </row>
    <row r="221" spans="1:16" ht="22.5">
      <c r="A221" s="382"/>
      <c r="B221" s="385"/>
      <c r="C221" s="247" t="s">
        <v>94</v>
      </c>
      <c r="D221" s="209" t="s">
        <v>95</v>
      </c>
      <c r="E221" s="363">
        <f>0.05*E220</f>
        <v>5.0330000000000004</v>
      </c>
      <c r="F221" s="384"/>
      <c r="G221" s="188"/>
      <c r="H221" s="188"/>
      <c r="I221" s="183"/>
      <c r="J221" s="188"/>
      <c r="K221" s="207"/>
      <c r="L221" s="208"/>
      <c r="M221" s="188"/>
      <c r="N221" s="188"/>
      <c r="O221" s="188"/>
      <c r="P221" s="207"/>
    </row>
    <row r="222" spans="1:16">
      <c r="A222" s="382"/>
      <c r="B222" s="385"/>
      <c r="C222" s="210" t="s">
        <v>96</v>
      </c>
      <c r="D222" s="209" t="s">
        <v>1</v>
      </c>
      <c r="E222" s="246">
        <f>E220*0.03</f>
        <v>3.0197999999999996</v>
      </c>
      <c r="F222" s="384"/>
      <c r="G222" s="188"/>
      <c r="H222" s="188"/>
      <c r="I222" s="183"/>
      <c r="J222" s="188"/>
      <c r="K222" s="207"/>
      <c r="L222" s="208"/>
      <c r="M222" s="188"/>
      <c r="N222" s="188"/>
      <c r="O222" s="188"/>
      <c r="P222" s="207"/>
    </row>
    <row r="223" spans="1:16" ht="22.5">
      <c r="A223" s="382"/>
      <c r="B223" s="385"/>
      <c r="C223" s="387" t="s">
        <v>229</v>
      </c>
      <c r="D223" s="388" t="s">
        <v>76</v>
      </c>
      <c r="E223" s="363">
        <f>0.15*E220/9</f>
        <v>1.6776666666666664</v>
      </c>
      <c r="F223" s="384"/>
      <c r="G223" s="188"/>
      <c r="H223" s="188"/>
      <c r="I223" s="183"/>
      <c r="J223" s="188"/>
      <c r="K223" s="207"/>
      <c r="L223" s="208"/>
      <c r="M223" s="188"/>
      <c r="N223" s="188"/>
      <c r="O223" s="188"/>
      <c r="P223" s="207"/>
    </row>
    <row r="224" spans="1:16">
      <c r="A224" s="382"/>
      <c r="B224" s="385"/>
      <c r="C224" s="389" t="s">
        <v>97</v>
      </c>
      <c r="D224" s="209" t="s">
        <v>1</v>
      </c>
      <c r="E224" s="246">
        <f>0.2*E220/9</f>
        <v>2.2368888888888891</v>
      </c>
      <c r="F224" s="384"/>
      <c r="G224" s="188"/>
      <c r="H224" s="188"/>
      <c r="I224" s="183"/>
      <c r="J224" s="188"/>
      <c r="K224" s="207"/>
      <c r="L224" s="208"/>
      <c r="M224" s="188"/>
      <c r="N224" s="188"/>
      <c r="O224" s="188"/>
      <c r="P224" s="207"/>
    </row>
    <row r="225" spans="1:16">
      <c r="A225" s="200">
        <v>5</v>
      </c>
      <c r="B225" s="390" t="s">
        <v>230</v>
      </c>
      <c r="C225" s="391" t="s">
        <v>231</v>
      </c>
      <c r="D225" s="392" t="s">
        <v>75</v>
      </c>
      <c r="E225" s="393">
        <v>33.6</v>
      </c>
      <c r="F225" s="394"/>
      <c r="G225" s="395"/>
      <c r="H225" s="396"/>
      <c r="I225" s="396"/>
      <c r="J225" s="188"/>
      <c r="K225" s="397"/>
      <c r="L225" s="398"/>
      <c r="M225" s="396"/>
      <c r="N225" s="396"/>
      <c r="O225" s="396"/>
      <c r="P225" s="397"/>
    </row>
    <row r="226" spans="1:16">
      <c r="A226" s="191"/>
      <c r="B226" s="141"/>
      <c r="C226" s="196" t="s">
        <v>232</v>
      </c>
      <c r="D226" s="399" t="s">
        <v>1</v>
      </c>
      <c r="E226" s="393">
        <f>0.5*E225/5</f>
        <v>3.3600000000000003</v>
      </c>
      <c r="F226" s="394"/>
      <c r="G226" s="396"/>
      <c r="H226" s="396"/>
      <c r="I226" s="396"/>
      <c r="J226" s="188"/>
      <c r="K226" s="397"/>
      <c r="L226" s="398"/>
      <c r="M226" s="396"/>
      <c r="N226" s="396"/>
      <c r="O226" s="396"/>
      <c r="P226" s="397"/>
    </row>
    <row r="227" spans="1:16">
      <c r="A227" s="191"/>
      <c r="B227" s="141"/>
      <c r="C227" s="196" t="s">
        <v>233</v>
      </c>
      <c r="D227" s="399" t="s">
        <v>1</v>
      </c>
      <c r="E227" s="393">
        <v>1</v>
      </c>
      <c r="F227" s="394"/>
      <c r="G227" s="396"/>
      <c r="H227" s="396"/>
      <c r="I227" s="396"/>
      <c r="J227" s="188"/>
      <c r="K227" s="397"/>
      <c r="L227" s="398"/>
      <c r="M227" s="396"/>
      <c r="N227" s="396"/>
      <c r="O227" s="396"/>
      <c r="P227" s="397"/>
    </row>
    <row r="228" spans="1:16">
      <c r="A228" s="200">
        <v>6</v>
      </c>
      <c r="B228" s="192" t="s">
        <v>234</v>
      </c>
      <c r="C228" s="391" t="s">
        <v>235</v>
      </c>
      <c r="D228" s="399" t="s">
        <v>75</v>
      </c>
      <c r="E228" s="393">
        <v>33.6</v>
      </c>
      <c r="F228" s="394"/>
      <c r="G228" s="400"/>
      <c r="H228" s="396"/>
      <c r="I228" s="396"/>
      <c r="J228" s="188"/>
      <c r="K228" s="397"/>
      <c r="L228" s="398"/>
      <c r="M228" s="396"/>
      <c r="N228" s="396"/>
      <c r="O228" s="396"/>
      <c r="P228" s="397"/>
    </row>
    <row r="229" spans="1:16">
      <c r="A229" s="312"/>
      <c r="B229" s="391"/>
      <c r="C229" s="196" t="s">
        <v>236</v>
      </c>
      <c r="D229" s="399" t="s">
        <v>75</v>
      </c>
      <c r="E229" s="393">
        <f>E228*1.1</f>
        <v>36.960000000000008</v>
      </c>
      <c r="F229" s="394"/>
      <c r="G229" s="396"/>
      <c r="H229" s="396"/>
      <c r="I229" s="396"/>
      <c r="J229" s="188"/>
      <c r="K229" s="397"/>
      <c r="L229" s="398"/>
      <c r="M229" s="396"/>
      <c r="N229" s="396"/>
      <c r="O229" s="396"/>
      <c r="P229" s="397"/>
    </row>
    <row r="230" spans="1:16">
      <c r="A230" s="200"/>
      <c r="B230" s="192"/>
      <c r="C230" s="196" t="s">
        <v>237</v>
      </c>
      <c r="D230" s="399" t="s">
        <v>76</v>
      </c>
      <c r="E230" s="393">
        <f>(E228*4)/25</f>
        <v>5.3760000000000003</v>
      </c>
      <c r="F230" s="394"/>
      <c r="G230" s="396"/>
      <c r="H230" s="396"/>
      <c r="I230" s="396"/>
      <c r="J230" s="188"/>
      <c r="K230" s="397"/>
      <c r="L230" s="398"/>
      <c r="M230" s="396"/>
      <c r="N230" s="396"/>
      <c r="O230" s="396"/>
      <c r="P230" s="397"/>
    </row>
    <row r="231" spans="1:16">
      <c r="A231" s="200"/>
      <c r="B231" s="192"/>
      <c r="C231" s="196" t="s">
        <v>238</v>
      </c>
      <c r="D231" s="399" t="s">
        <v>76</v>
      </c>
      <c r="E231" s="393">
        <f>(E228*0.4)/2</f>
        <v>6.7200000000000006</v>
      </c>
      <c r="F231" s="394"/>
      <c r="G231" s="396"/>
      <c r="H231" s="396"/>
      <c r="I231" s="396"/>
      <c r="J231" s="188"/>
      <c r="K231" s="397"/>
      <c r="L231" s="398"/>
      <c r="M231" s="396"/>
      <c r="N231" s="396"/>
      <c r="O231" s="396"/>
      <c r="P231" s="397"/>
    </row>
    <row r="232" spans="1:16">
      <c r="A232" s="200"/>
      <c r="B232" s="192"/>
      <c r="C232" s="196" t="s">
        <v>239</v>
      </c>
      <c r="D232" s="399" t="s">
        <v>76</v>
      </c>
      <c r="E232" s="393">
        <f>0.5*E228</f>
        <v>16.8</v>
      </c>
      <c r="F232" s="394"/>
      <c r="G232" s="396"/>
      <c r="H232" s="396"/>
      <c r="I232" s="396"/>
      <c r="J232" s="188"/>
      <c r="K232" s="397"/>
      <c r="L232" s="398"/>
      <c r="M232" s="396"/>
      <c r="N232" s="396"/>
      <c r="O232" s="396"/>
      <c r="P232" s="397"/>
    </row>
    <row r="233" spans="1:16">
      <c r="A233" s="200"/>
      <c r="B233" s="192"/>
      <c r="C233" s="401" t="s">
        <v>146</v>
      </c>
      <c r="D233" s="402" t="s">
        <v>76</v>
      </c>
      <c r="E233" s="403">
        <v>1</v>
      </c>
      <c r="F233" s="394"/>
      <c r="G233" s="396"/>
      <c r="H233" s="396"/>
      <c r="I233" s="396"/>
      <c r="J233" s="188"/>
      <c r="K233" s="397"/>
      <c r="L233" s="398"/>
      <c r="M233" s="396"/>
      <c r="N233" s="396"/>
      <c r="O233" s="396"/>
      <c r="P233" s="397"/>
    </row>
    <row r="234" spans="1:16">
      <c r="A234" s="364"/>
      <c r="B234" s="365"/>
      <c r="C234" s="334" t="s">
        <v>331</v>
      </c>
      <c r="D234" s="366"/>
      <c r="E234" s="367"/>
      <c r="F234" s="368"/>
      <c r="G234" s="369"/>
      <c r="H234" s="369"/>
      <c r="I234" s="369"/>
      <c r="J234" s="369"/>
      <c r="K234" s="370"/>
      <c r="L234" s="371"/>
      <c r="M234" s="369"/>
      <c r="N234" s="369"/>
      <c r="O234" s="369"/>
      <c r="P234" s="370"/>
    </row>
    <row r="235" spans="1:16" ht="22.5">
      <c r="A235" s="191" t="s">
        <v>6</v>
      </c>
      <c r="B235" s="141" t="s">
        <v>355</v>
      </c>
      <c r="C235" s="337" t="s">
        <v>356</v>
      </c>
      <c r="D235" s="195" t="s">
        <v>75</v>
      </c>
      <c r="E235" s="182">
        <v>167.82</v>
      </c>
      <c r="F235" s="202"/>
      <c r="G235" s="338"/>
      <c r="H235" s="203"/>
      <c r="I235" s="203"/>
      <c r="J235" s="203"/>
      <c r="K235" s="204"/>
      <c r="L235" s="205"/>
      <c r="M235" s="203"/>
      <c r="N235" s="203"/>
      <c r="O235" s="203"/>
      <c r="P235" s="204"/>
    </row>
    <row r="236" spans="1:16">
      <c r="A236" s="191"/>
      <c r="B236" s="141"/>
      <c r="C236" s="339" t="s">
        <v>357</v>
      </c>
      <c r="D236" s="195" t="s">
        <v>75</v>
      </c>
      <c r="E236" s="201">
        <f>E235*1.2</f>
        <v>201.38399999999999</v>
      </c>
      <c r="F236" s="202"/>
      <c r="G236" s="203"/>
      <c r="H236" s="203"/>
      <c r="I236" s="203"/>
      <c r="J236" s="203"/>
      <c r="K236" s="204"/>
      <c r="L236" s="205"/>
      <c r="M236" s="203"/>
      <c r="N236" s="203"/>
      <c r="O236" s="203"/>
      <c r="P236" s="204"/>
    </row>
    <row r="237" spans="1:16">
      <c r="A237" s="191"/>
      <c r="B237" s="141"/>
      <c r="C237" s="196" t="s">
        <v>358</v>
      </c>
      <c r="D237" s="195" t="s">
        <v>1</v>
      </c>
      <c r="E237" s="201">
        <f>4*E235</f>
        <v>671.28</v>
      </c>
      <c r="F237" s="202"/>
      <c r="G237" s="340"/>
      <c r="H237" s="340"/>
      <c r="I237" s="203"/>
      <c r="J237" s="340"/>
      <c r="K237" s="204"/>
      <c r="L237" s="341"/>
      <c r="M237" s="340"/>
      <c r="N237" s="203"/>
      <c r="O237" s="342"/>
      <c r="P237" s="343"/>
    </row>
    <row r="238" spans="1:16" ht="22.5">
      <c r="A238" s="200">
        <v>2</v>
      </c>
      <c r="B238" s="192" t="s">
        <v>240</v>
      </c>
      <c r="C238" s="337" t="s">
        <v>359</v>
      </c>
      <c r="D238" s="195" t="s">
        <v>77</v>
      </c>
      <c r="E238" s="182">
        <v>167.82</v>
      </c>
      <c r="F238" s="197"/>
      <c r="G238" s="183"/>
      <c r="H238" s="193"/>
      <c r="I238" s="193"/>
      <c r="J238" s="193"/>
      <c r="K238" s="194"/>
      <c r="L238" s="198"/>
      <c r="M238" s="193"/>
      <c r="N238" s="193"/>
      <c r="O238" s="193"/>
      <c r="P238" s="194"/>
    </row>
    <row r="239" spans="1:16">
      <c r="A239" s="200"/>
      <c r="B239" s="192"/>
      <c r="C239" s="196" t="s">
        <v>241</v>
      </c>
      <c r="D239" s="195" t="s">
        <v>75</v>
      </c>
      <c r="E239" s="182">
        <f>E238*1.1*2</f>
        <v>369.20400000000001</v>
      </c>
      <c r="F239" s="197"/>
      <c r="G239" s="193"/>
      <c r="H239" s="193"/>
      <c r="I239" s="193"/>
      <c r="J239" s="193"/>
      <c r="K239" s="194"/>
      <c r="L239" s="198"/>
      <c r="M239" s="193"/>
      <c r="N239" s="193"/>
      <c r="O239" s="193"/>
      <c r="P239" s="194"/>
    </row>
    <row r="240" spans="1:16">
      <c r="A240" s="184" t="s">
        <v>8</v>
      </c>
      <c r="B240" s="185" t="s">
        <v>169</v>
      </c>
      <c r="C240" s="404" t="s">
        <v>170</v>
      </c>
      <c r="D240" s="209" t="s">
        <v>77</v>
      </c>
      <c r="E240" s="182">
        <v>167.82</v>
      </c>
      <c r="F240" s="187"/>
      <c r="G240" s="183"/>
      <c r="H240" s="183"/>
      <c r="I240" s="183"/>
      <c r="J240" s="183"/>
      <c r="K240" s="189"/>
      <c r="L240" s="190"/>
      <c r="M240" s="183"/>
      <c r="N240" s="183"/>
      <c r="O240" s="183"/>
      <c r="P240" s="189"/>
    </row>
    <row r="241" spans="1:16" ht="33.75">
      <c r="A241" s="184"/>
      <c r="B241" s="185"/>
      <c r="C241" s="247" t="s">
        <v>171</v>
      </c>
      <c r="D241" s="209" t="s">
        <v>242</v>
      </c>
      <c r="E241" s="246">
        <f>E240*1.2/150</f>
        <v>1.34256</v>
      </c>
      <c r="F241" s="187"/>
      <c r="G241" s="183"/>
      <c r="H241" s="183"/>
      <c r="I241" s="183"/>
      <c r="J241" s="183"/>
      <c r="K241" s="189"/>
      <c r="L241" s="190"/>
      <c r="M241" s="183"/>
      <c r="N241" s="183"/>
      <c r="O241" s="183"/>
      <c r="P241" s="189"/>
    </row>
    <row r="242" spans="1:16" ht="33.75">
      <c r="A242" s="200">
        <v>4</v>
      </c>
      <c r="B242" s="372" t="s">
        <v>243</v>
      </c>
      <c r="C242" s="462" t="s">
        <v>345</v>
      </c>
      <c r="D242" s="195" t="s">
        <v>77</v>
      </c>
      <c r="E242" s="182">
        <v>167.82</v>
      </c>
      <c r="F242" s="197"/>
      <c r="G242" s="183"/>
      <c r="H242" s="193"/>
      <c r="I242" s="193"/>
      <c r="J242" s="193"/>
      <c r="K242" s="194"/>
      <c r="L242" s="198"/>
      <c r="M242" s="193"/>
      <c r="N242" s="193"/>
      <c r="O242" s="193"/>
      <c r="P242" s="194"/>
    </row>
    <row r="243" spans="1:16">
      <c r="A243" s="200"/>
      <c r="B243" s="192"/>
      <c r="C243" s="196" t="s">
        <v>244</v>
      </c>
      <c r="D243" s="374" t="s">
        <v>1</v>
      </c>
      <c r="E243" s="182">
        <f>0.7*1.1*E242/3</f>
        <v>43.073799999999999</v>
      </c>
      <c r="F243" s="197"/>
      <c r="G243" s="193"/>
      <c r="H243" s="193"/>
      <c r="I243" s="193"/>
      <c r="J243" s="193"/>
      <c r="K243" s="194"/>
      <c r="L243" s="198"/>
      <c r="M243" s="193"/>
      <c r="N243" s="193"/>
      <c r="O243" s="193"/>
      <c r="P243" s="194"/>
    </row>
    <row r="244" spans="1:16">
      <c r="A244" s="200"/>
      <c r="B244" s="192"/>
      <c r="C244" s="196" t="s">
        <v>245</v>
      </c>
      <c r="D244" s="374" t="s">
        <v>1</v>
      </c>
      <c r="E244" s="182">
        <f>E243*10</f>
        <v>430.738</v>
      </c>
      <c r="F244" s="197"/>
      <c r="G244" s="193"/>
      <c r="H244" s="193"/>
      <c r="I244" s="193"/>
      <c r="J244" s="193"/>
      <c r="K244" s="194"/>
      <c r="L244" s="198"/>
      <c r="M244" s="193"/>
      <c r="N244" s="193"/>
      <c r="O244" s="193"/>
      <c r="P244" s="194"/>
    </row>
    <row r="245" spans="1:16">
      <c r="A245" s="200"/>
      <c r="B245" s="192"/>
      <c r="C245" s="196" t="s">
        <v>246</v>
      </c>
      <c r="D245" s="374" t="s">
        <v>1</v>
      </c>
      <c r="E245" s="182">
        <f>E243*3/30</f>
        <v>4.3073799999999993</v>
      </c>
      <c r="F245" s="197"/>
      <c r="G245" s="193"/>
      <c r="H245" s="193"/>
      <c r="I245" s="193"/>
      <c r="J245" s="193"/>
      <c r="K245" s="194"/>
      <c r="L245" s="198"/>
      <c r="M245" s="193"/>
      <c r="N245" s="193"/>
      <c r="O245" s="193"/>
      <c r="P245" s="194"/>
    </row>
    <row r="246" spans="1:16">
      <c r="A246" s="200"/>
      <c r="B246" s="192"/>
      <c r="C246" s="196" t="s">
        <v>247</v>
      </c>
      <c r="D246" s="374" t="s">
        <v>1</v>
      </c>
      <c r="E246" s="182">
        <f>2*1.1*E242/3</f>
        <v>123.068</v>
      </c>
      <c r="F246" s="197"/>
      <c r="G246" s="193"/>
      <c r="H246" s="193"/>
      <c r="I246" s="193"/>
      <c r="J246" s="193"/>
      <c r="K246" s="194"/>
      <c r="L246" s="198"/>
      <c r="M246" s="193"/>
      <c r="N246" s="193"/>
      <c r="O246" s="193"/>
      <c r="P246" s="194"/>
    </row>
    <row r="247" spans="1:16">
      <c r="A247" s="200"/>
      <c r="B247" s="192"/>
      <c r="C247" s="196" t="s">
        <v>248</v>
      </c>
      <c r="D247" s="374" t="s">
        <v>1</v>
      </c>
      <c r="E247" s="182">
        <f>E242/10</f>
        <v>16.782</v>
      </c>
      <c r="F247" s="197"/>
      <c r="G247" s="193"/>
      <c r="H247" s="193"/>
      <c r="I247" s="193"/>
      <c r="J247" s="193"/>
      <c r="K247" s="194"/>
      <c r="L247" s="198"/>
      <c r="M247" s="193"/>
      <c r="N247" s="193"/>
      <c r="O247" s="193"/>
      <c r="P247" s="194"/>
    </row>
    <row r="248" spans="1:16">
      <c r="A248" s="200"/>
      <c r="B248" s="192"/>
      <c r="C248" s="196" t="s">
        <v>249</v>
      </c>
      <c r="D248" s="374" t="s">
        <v>1</v>
      </c>
      <c r="E248" s="363">
        <f>E246*0.7*1.1</f>
        <v>94.762360000000001</v>
      </c>
      <c r="F248" s="197"/>
      <c r="G248" s="193"/>
      <c r="H248" s="193"/>
      <c r="I248" s="195"/>
      <c r="J248" s="193"/>
      <c r="K248" s="194"/>
      <c r="L248" s="198"/>
      <c r="M248" s="193"/>
      <c r="N248" s="193"/>
      <c r="O248" s="193"/>
      <c r="P248" s="194"/>
    </row>
    <row r="249" spans="1:16">
      <c r="A249" s="200"/>
      <c r="B249" s="192"/>
      <c r="C249" s="196" t="s">
        <v>245</v>
      </c>
      <c r="D249" s="374" t="s">
        <v>1</v>
      </c>
      <c r="E249" s="182">
        <f>E248*2</f>
        <v>189.52472</v>
      </c>
      <c r="F249" s="197"/>
      <c r="G249" s="193"/>
      <c r="H249" s="193"/>
      <c r="I249" s="193"/>
      <c r="J249" s="193"/>
      <c r="K249" s="194"/>
      <c r="L249" s="198"/>
      <c r="M249" s="193"/>
      <c r="N249" s="193"/>
      <c r="O249" s="193"/>
      <c r="P249" s="194"/>
    </row>
    <row r="250" spans="1:16" ht="22.5">
      <c r="A250" s="200"/>
      <c r="B250" s="192"/>
      <c r="C250" s="211" t="s">
        <v>250</v>
      </c>
      <c r="D250" s="195" t="s">
        <v>175</v>
      </c>
      <c r="E250" s="182">
        <f>6*E242/100</f>
        <v>10.0692</v>
      </c>
      <c r="F250" s="197"/>
      <c r="G250" s="193"/>
      <c r="H250" s="193"/>
      <c r="I250" s="193"/>
      <c r="J250" s="193"/>
      <c r="K250" s="194"/>
      <c r="L250" s="198"/>
      <c r="M250" s="193"/>
      <c r="N250" s="193"/>
      <c r="O250" s="193"/>
      <c r="P250" s="194"/>
    </row>
    <row r="251" spans="1:16" ht="22.5">
      <c r="A251" s="200"/>
      <c r="B251" s="192"/>
      <c r="C251" s="211" t="s">
        <v>251</v>
      </c>
      <c r="D251" s="195" t="s">
        <v>1</v>
      </c>
      <c r="E251" s="182">
        <f>1*E242</f>
        <v>167.82</v>
      </c>
      <c r="F251" s="197"/>
      <c r="G251" s="193"/>
      <c r="H251" s="193"/>
      <c r="I251" s="195"/>
      <c r="J251" s="193"/>
      <c r="K251" s="194"/>
      <c r="L251" s="198"/>
      <c r="M251" s="193"/>
      <c r="N251" s="193"/>
      <c r="O251" s="193"/>
      <c r="P251" s="194"/>
    </row>
    <row r="252" spans="1:16" ht="22.5">
      <c r="A252" s="200"/>
      <c r="B252" s="192"/>
      <c r="C252" s="211" t="s">
        <v>250</v>
      </c>
      <c r="D252" s="195" t="s">
        <v>175</v>
      </c>
      <c r="E252" s="182">
        <f>4*E251/100</f>
        <v>6.7127999999999997</v>
      </c>
      <c r="F252" s="197"/>
      <c r="G252" s="193"/>
      <c r="H252" s="193"/>
      <c r="I252" s="193"/>
      <c r="J252" s="193"/>
      <c r="K252" s="194"/>
      <c r="L252" s="198"/>
      <c r="M252" s="193"/>
      <c r="N252" s="193"/>
      <c r="O252" s="193"/>
      <c r="P252" s="194"/>
    </row>
    <row r="253" spans="1:16" ht="22.5">
      <c r="A253" s="200"/>
      <c r="B253" s="192"/>
      <c r="C253" s="211" t="s">
        <v>252</v>
      </c>
      <c r="D253" s="195" t="s">
        <v>219</v>
      </c>
      <c r="E253" s="182">
        <f>((E242*1.1)/3.6)</f>
        <v>51.278333333333336</v>
      </c>
      <c r="F253" s="197"/>
      <c r="G253" s="193"/>
      <c r="H253" s="193"/>
      <c r="I253" s="193"/>
      <c r="J253" s="193"/>
      <c r="K253" s="194"/>
      <c r="L253" s="198"/>
      <c r="M253" s="193"/>
      <c r="N253" s="193"/>
      <c r="O253" s="193"/>
      <c r="P253" s="194"/>
    </row>
    <row r="254" spans="1:16" ht="22.5">
      <c r="A254" s="200"/>
      <c r="B254" s="192"/>
      <c r="C254" s="211" t="s">
        <v>253</v>
      </c>
      <c r="D254" s="195" t="s">
        <v>254</v>
      </c>
      <c r="E254" s="182">
        <f>24*E242/100</f>
        <v>40.276800000000001</v>
      </c>
      <c r="F254" s="197"/>
      <c r="G254" s="193"/>
      <c r="H254" s="193"/>
      <c r="I254" s="193"/>
      <c r="J254" s="193"/>
      <c r="K254" s="194"/>
      <c r="L254" s="198"/>
      <c r="M254" s="193"/>
      <c r="N254" s="193"/>
      <c r="O254" s="193"/>
      <c r="P254" s="194"/>
    </row>
    <row r="255" spans="1:16" ht="22.5">
      <c r="A255" s="200"/>
      <c r="B255" s="192"/>
      <c r="C255" s="211" t="s">
        <v>255</v>
      </c>
      <c r="D255" s="195" t="s">
        <v>1</v>
      </c>
      <c r="E255" s="182">
        <f>(E242*1*1.1)/90</f>
        <v>2.0511333333333335</v>
      </c>
      <c r="F255" s="197"/>
      <c r="G255" s="193"/>
      <c r="H255" s="193"/>
      <c r="I255" s="193"/>
      <c r="J255" s="193"/>
      <c r="K255" s="194"/>
      <c r="L255" s="198"/>
      <c r="M255" s="193"/>
      <c r="N255" s="193"/>
      <c r="O255" s="193"/>
      <c r="P255" s="194"/>
    </row>
    <row r="256" spans="1:16">
      <c r="A256" s="200"/>
      <c r="B256" s="192"/>
      <c r="C256" s="196" t="s">
        <v>222</v>
      </c>
      <c r="D256" s="195" t="s">
        <v>1</v>
      </c>
      <c r="E256" s="182">
        <f>(E242*0.3*1.1)/25</f>
        <v>2.2152240000000001</v>
      </c>
      <c r="F256" s="197"/>
      <c r="G256" s="193"/>
      <c r="H256" s="193"/>
      <c r="I256" s="193"/>
      <c r="J256" s="193"/>
      <c r="K256" s="194"/>
      <c r="L256" s="198"/>
      <c r="M256" s="193"/>
      <c r="N256" s="193"/>
      <c r="O256" s="193"/>
      <c r="P256" s="194"/>
    </row>
    <row r="257" spans="1:16" ht="22.5">
      <c r="A257" s="230">
        <v>5</v>
      </c>
      <c r="B257" s="405" t="s">
        <v>27</v>
      </c>
      <c r="C257" s="406" t="s">
        <v>256</v>
      </c>
      <c r="D257" s="209" t="s">
        <v>75</v>
      </c>
      <c r="E257" s="182">
        <v>167.82</v>
      </c>
      <c r="F257" s="384"/>
      <c r="G257" s="188"/>
      <c r="H257" s="188"/>
      <c r="I257" s="188"/>
      <c r="J257" s="188"/>
      <c r="K257" s="207"/>
      <c r="L257" s="208"/>
      <c r="M257" s="188"/>
      <c r="N257" s="188"/>
      <c r="O257" s="188"/>
      <c r="P257" s="207"/>
    </row>
    <row r="258" spans="1:16">
      <c r="A258" s="382"/>
      <c r="B258" s="385"/>
      <c r="C258" s="210" t="s">
        <v>89</v>
      </c>
      <c r="D258" s="209" t="s">
        <v>1</v>
      </c>
      <c r="E258" s="246">
        <f>1*E257/25</f>
        <v>6.7127999999999997</v>
      </c>
      <c r="F258" s="384"/>
      <c r="G258" s="188"/>
      <c r="H258" s="188"/>
      <c r="I258" s="183"/>
      <c r="J258" s="188"/>
      <c r="K258" s="207"/>
      <c r="L258" s="208"/>
      <c r="M258" s="188"/>
      <c r="N258" s="188"/>
      <c r="O258" s="188"/>
      <c r="P258" s="207"/>
    </row>
    <row r="259" spans="1:16" ht="22.5">
      <c r="A259" s="382"/>
      <c r="B259" s="385"/>
      <c r="C259" s="247" t="s">
        <v>90</v>
      </c>
      <c r="D259" s="209" t="s">
        <v>1</v>
      </c>
      <c r="E259" s="246">
        <f>0.5*E257/28</f>
        <v>2.9967857142857142</v>
      </c>
      <c r="F259" s="384"/>
      <c r="G259" s="188"/>
      <c r="H259" s="188"/>
      <c r="I259" s="183"/>
      <c r="J259" s="188"/>
      <c r="K259" s="207"/>
      <c r="L259" s="208"/>
      <c r="M259" s="188"/>
      <c r="N259" s="188"/>
      <c r="O259" s="188"/>
      <c r="P259" s="207"/>
    </row>
    <row r="260" spans="1:16">
      <c r="A260" s="382"/>
      <c r="B260" s="385"/>
      <c r="C260" s="210" t="s">
        <v>91</v>
      </c>
      <c r="D260" s="209" t="s">
        <v>1</v>
      </c>
      <c r="E260" s="246">
        <f>0.15*E257/15</f>
        <v>1.6781999999999999</v>
      </c>
      <c r="F260" s="384"/>
      <c r="G260" s="188"/>
      <c r="H260" s="188"/>
      <c r="I260" s="183"/>
      <c r="J260" s="188"/>
      <c r="K260" s="207"/>
      <c r="L260" s="208"/>
      <c r="M260" s="188"/>
      <c r="N260" s="188"/>
      <c r="O260" s="188"/>
      <c r="P260" s="207"/>
    </row>
    <row r="261" spans="1:16">
      <c r="A261" s="382"/>
      <c r="B261" s="385"/>
      <c r="C261" s="210" t="s">
        <v>92</v>
      </c>
      <c r="D261" s="209" t="s">
        <v>1</v>
      </c>
      <c r="E261" s="246">
        <f>E257*0.3/3</f>
        <v>16.782</v>
      </c>
      <c r="F261" s="384"/>
      <c r="G261" s="188"/>
      <c r="H261" s="188"/>
      <c r="I261" s="183"/>
      <c r="J261" s="188"/>
      <c r="K261" s="207"/>
      <c r="L261" s="208"/>
      <c r="M261" s="188"/>
      <c r="N261" s="188"/>
      <c r="O261" s="188"/>
      <c r="P261" s="207"/>
    </row>
    <row r="262" spans="1:16">
      <c r="A262" s="382"/>
      <c r="B262" s="385"/>
      <c r="C262" s="210" t="s">
        <v>93</v>
      </c>
      <c r="D262" s="209" t="s">
        <v>2</v>
      </c>
      <c r="E262" s="246">
        <f>0.015*E257</f>
        <v>2.5172999999999996</v>
      </c>
      <c r="F262" s="384"/>
      <c r="G262" s="188"/>
      <c r="H262" s="188"/>
      <c r="I262" s="183"/>
      <c r="J262" s="188"/>
      <c r="K262" s="207"/>
      <c r="L262" s="208"/>
      <c r="M262" s="188"/>
      <c r="N262" s="188"/>
      <c r="O262" s="188"/>
      <c r="P262" s="207"/>
    </row>
    <row r="263" spans="1:16">
      <c r="A263" s="382">
        <v>6</v>
      </c>
      <c r="B263" s="206" t="s">
        <v>27</v>
      </c>
      <c r="C263" s="386" t="s">
        <v>257</v>
      </c>
      <c r="D263" s="209" t="s">
        <v>75</v>
      </c>
      <c r="E263" s="182">
        <v>167.82</v>
      </c>
      <c r="F263" s="384"/>
      <c r="G263" s="188"/>
      <c r="H263" s="188"/>
      <c r="I263" s="188"/>
      <c r="J263" s="188"/>
      <c r="K263" s="207"/>
      <c r="L263" s="208"/>
      <c r="M263" s="188"/>
      <c r="N263" s="188"/>
      <c r="O263" s="188"/>
      <c r="P263" s="207"/>
    </row>
    <row r="264" spans="1:16" ht="22.5">
      <c r="A264" s="382"/>
      <c r="B264" s="385"/>
      <c r="C264" s="247" t="s">
        <v>94</v>
      </c>
      <c r="D264" s="209" t="s">
        <v>95</v>
      </c>
      <c r="E264" s="363">
        <f>0.05*E263</f>
        <v>8.391</v>
      </c>
      <c r="F264" s="384"/>
      <c r="G264" s="188"/>
      <c r="H264" s="188"/>
      <c r="I264" s="183"/>
      <c r="J264" s="188"/>
      <c r="K264" s="207"/>
      <c r="L264" s="208"/>
      <c r="M264" s="188"/>
      <c r="N264" s="188"/>
      <c r="O264" s="188"/>
      <c r="P264" s="207"/>
    </row>
    <row r="265" spans="1:16">
      <c r="A265" s="382"/>
      <c r="B265" s="385"/>
      <c r="C265" s="210" t="s">
        <v>96</v>
      </c>
      <c r="D265" s="209" t="s">
        <v>1</v>
      </c>
      <c r="E265" s="246">
        <f>E263*0.03</f>
        <v>5.0345999999999993</v>
      </c>
      <c r="F265" s="384"/>
      <c r="G265" s="188"/>
      <c r="H265" s="188"/>
      <c r="I265" s="183"/>
      <c r="J265" s="188"/>
      <c r="K265" s="207"/>
      <c r="L265" s="208"/>
      <c r="M265" s="188"/>
      <c r="N265" s="188"/>
      <c r="O265" s="188"/>
      <c r="P265" s="207"/>
    </row>
    <row r="266" spans="1:16" ht="22.5">
      <c r="A266" s="382"/>
      <c r="B266" s="385"/>
      <c r="C266" s="387" t="s">
        <v>229</v>
      </c>
      <c r="D266" s="388" t="s">
        <v>76</v>
      </c>
      <c r="E266" s="363">
        <f>0.15*E263/9</f>
        <v>2.7969999999999997</v>
      </c>
      <c r="F266" s="384"/>
      <c r="G266" s="188"/>
      <c r="H266" s="188"/>
      <c r="I266" s="183"/>
      <c r="J266" s="188"/>
      <c r="K266" s="207"/>
      <c r="L266" s="208"/>
      <c r="M266" s="188"/>
      <c r="N266" s="188"/>
      <c r="O266" s="188"/>
      <c r="P266" s="207"/>
    </row>
    <row r="267" spans="1:16">
      <c r="A267" s="382"/>
      <c r="B267" s="385"/>
      <c r="C267" s="389" t="s">
        <v>97</v>
      </c>
      <c r="D267" s="209" t="s">
        <v>1</v>
      </c>
      <c r="E267" s="246">
        <f>0.2*E263/9</f>
        <v>3.7293333333333334</v>
      </c>
      <c r="F267" s="384"/>
      <c r="G267" s="188"/>
      <c r="H267" s="188"/>
      <c r="I267" s="183"/>
      <c r="J267" s="188"/>
      <c r="K267" s="207"/>
      <c r="L267" s="208"/>
      <c r="M267" s="188"/>
      <c r="N267" s="188"/>
      <c r="O267" s="188"/>
      <c r="P267" s="207"/>
    </row>
    <row r="268" spans="1:16">
      <c r="A268" s="364"/>
      <c r="B268" s="365"/>
      <c r="C268" s="334" t="s">
        <v>330</v>
      </c>
      <c r="D268" s="366"/>
      <c r="E268" s="367"/>
      <c r="F268" s="368"/>
      <c r="G268" s="369"/>
      <c r="H268" s="369"/>
      <c r="I268" s="369"/>
      <c r="J268" s="369"/>
      <c r="K268" s="370"/>
      <c r="L268" s="371"/>
      <c r="M268" s="369"/>
      <c r="N268" s="369"/>
      <c r="O268" s="369"/>
      <c r="P268" s="370"/>
    </row>
    <row r="269" spans="1:16" ht="22.5">
      <c r="A269" s="184" t="s">
        <v>6</v>
      </c>
      <c r="B269" s="185" t="s">
        <v>314</v>
      </c>
      <c r="C269" s="463" t="s">
        <v>328</v>
      </c>
      <c r="D269" s="209" t="s">
        <v>77</v>
      </c>
      <c r="E269" s="182">
        <v>98.8</v>
      </c>
      <c r="F269" s="187"/>
      <c r="G269" s="183"/>
      <c r="H269" s="183"/>
      <c r="I269" s="193"/>
      <c r="J269" s="183"/>
      <c r="K269" s="189"/>
      <c r="L269" s="190"/>
      <c r="M269" s="183"/>
      <c r="N269" s="183"/>
      <c r="O269" s="183"/>
      <c r="P269" s="189"/>
    </row>
    <row r="270" spans="1:16">
      <c r="A270" s="184"/>
      <c r="B270" s="185"/>
      <c r="C270" s="250" t="s">
        <v>179</v>
      </c>
      <c r="D270" s="209" t="s">
        <v>100</v>
      </c>
      <c r="E270" s="246">
        <f>E269*(100/312.5)*0.032*1.1</f>
        <v>1.1128832</v>
      </c>
      <c r="F270" s="187"/>
      <c r="G270" s="183"/>
      <c r="H270" s="183"/>
      <c r="I270" s="183"/>
      <c r="J270" s="183"/>
      <c r="K270" s="189"/>
      <c r="L270" s="190"/>
      <c r="M270" s="183"/>
      <c r="N270" s="183"/>
      <c r="O270" s="183"/>
      <c r="P270" s="189"/>
    </row>
    <row r="271" spans="1:16">
      <c r="A271" s="184"/>
      <c r="B271" s="185"/>
      <c r="C271" s="250" t="s">
        <v>178</v>
      </c>
      <c r="D271" s="209" t="s">
        <v>78</v>
      </c>
      <c r="E271" s="246">
        <f>((E269/0.3)*4.44)/1000</f>
        <v>1.46224</v>
      </c>
      <c r="F271" s="187"/>
      <c r="G271" s="183"/>
      <c r="H271" s="183"/>
      <c r="I271" s="183"/>
      <c r="J271" s="183"/>
      <c r="K271" s="189"/>
      <c r="L271" s="190"/>
      <c r="M271" s="183"/>
      <c r="N271" s="183"/>
      <c r="O271" s="183"/>
      <c r="P271" s="189"/>
    </row>
    <row r="272" spans="1:16" ht="22.5">
      <c r="A272" s="184" t="s">
        <v>7</v>
      </c>
      <c r="B272" s="185" t="s">
        <v>27</v>
      </c>
      <c r="C272" s="464" t="s">
        <v>176</v>
      </c>
      <c r="D272" s="209" t="s">
        <v>77</v>
      </c>
      <c r="E272" s="246">
        <f>E270*0.264/(0.032*0.1)</f>
        <v>91.812864000000005</v>
      </c>
      <c r="F272" s="187"/>
      <c r="G272" s="183"/>
      <c r="H272" s="183"/>
      <c r="I272" s="193"/>
      <c r="J272" s="183"/>
      <c r="K272" s="189"/>
      <c r="L272" s="190"/>
      <c r="M272" s="183"/>
      <c r="N272" s="183"/>
      <c r="O272" s="183"/>
      <c r="P272" s="189"/>
    </row>
    <row r="273" spans="1:16" ht="22.5">
      <c r="A273" s="184"/>
      <c r="B273" s="185"/>
      <c r="C273" s="250" t="s">
        <v>177</v>
      </c>
      <c r="D273" s="209" t="s">
        <v>155</v>
      </c>
      <c r="E273" s="246">
        <f>(0.015*E272)</f>
        <v>1.3771929599999999</v>
      </c>
      <c r="F273" s="187"/>
      <c r="G273" s="183"/>
      <c r="H273" s="183"/>
      <c r="I273" s="183"/>
      <c r="J273" s="183"/>
      <c r="K273" s="189"/>
      <c r="L273" s="190"/>
      <c r="M273" s="183"/>
      <c r="N273" s="183"/>
      <c r="O273" s="183"/>
      <c r="P273" s="189"/>
    </row>
    <row r="274" spans="1:16" ht="14.25" customHeight="1">
      <c r="A274" s="184" t="s">
        <v>8</v>
      </c>
      <c r="B274" s="185" t="s">
        <v>315</v>
      </c>
      <c r="C274" s="404" t="s">
        <v>316</v>
      </c>
      <c r="D274" s="209" t="s">
        <v>77</v>
      </c>
      <c r="E274" s="182">
        <v>98.8</v>
      </c>
      <c r="F274" s="187"/>
      <c r="G274" s="183"/>
      <c r="H274" s="183"/>
      <c r="I274" s="396"/>
      <c r="J274" s="183"/>
      <c r="K274" s="189"/>
      <c r="L274" s="190"/>
      <c r="M274" s="183"/>
      <c r="N274" s="183"/>
      <c r="O274" s="183"/>
      <c r="P274" s="189"/>
    </row>
    <row r="275" spans="1:16">
      <c r="A275" s="184"/>
      <c r="B275" s="185"/>
      <c r="C275" s="250" t="s">
        <v>329</v>
      </c>
      <c r="D275" s="209" t="s">
        <v>75</v>
      </c>
      <c r="E275" s="246">
        <f>E274*1.1</f>
        <v>108.68</v>
      </c>
      <c r="F275" s="187"/>
      <c r="G275" s="183"/>
      <c r="H275" s="183"/>
      <c r="I275" s="183"/>
      <c r="J275" s="183"/>
      <c r="K275" s="189"/>
      <c r="L275" s="190"/>
      <c r="M275" s="183"/>
      <c r="N275" s="183"/>
      <c r="O275" s="183"/>
      <c r="P275" s="189"/>
    </row>
    <row r="276" spans="1:16" ht="22.5">
      <c r="A276" s="184"/>
      <c r="B276" s="185"/>
      <c r="C276" s="250" t="s">
        <v>183</v>
      </c>
      <c r="D276" s="209" t="s">
        <v>254</v>
      </c>
      <c r="E276" s="246">
        <f>E274*18/100</f>
        <v>17.783999999999999</v>
      </c>
      <c r="F276" s="187"/>
      <c r="G276" s="183"/>
      <c r="H276" s="183"/>
      <c r="I276" s="183"/>
      <c r="J276" s="183"/>
      <c r="K276" s="189"/>
      <c r="L276" s="190"/>
      <c r="M276" s="183"/>
      <c r="N276" s="183"/>
      <c r="O276" s="183"/>
      <c r="P276" s="189"/>
    </row>
    <row r="277" spans="1:16">
      <c r="A277" s="200">
        <v>4</v>
      </c>
      <c r="B277" s="390" t="s">
        <v>230</v>
      </c>
      <c r="C277" s="391" t="s">
        <v>296</v>
      </c>
      <c r="D277" s="392" t="s">
        <v>75</v>
      </c>
      <c r="E277" s="182">
        <v>17.7</v>
      </c>
      <c r="F277" s="394"/>
      <c r="G277" s="439"/>
      <c r="H277" s="396"/>
      <c r="I277" s="396"/>
      <c r="J277" s="188"/>
      <c r="K277" s="397"/>
      <c r="L277" s="398"/>
      <c r="M277" s="396"/>
      <c r="N277" s="396"/>
      <c r="O277" s="396"/>
      <c r="P277" s="397"/>
    </row>
    <row r="278" spans="1:16">
      <c r="A278" s="191"/>
      <c r="B278" s="141"/>
      <c r="C278" s="196" t="s">
        <v>232</v>
      </c>
      <c r="D278" s="399" t="s">
        <v>1</v>
      </c>
      <c r="E278" s="393">
        <f>1.5*E277/5</f>
        <v>5.31</v>
      </c>
      <c r="F278" s="394"/>
      <c r="G278" s="396"/>
      <c r="H278" s="396"/>
      <c r="I278" s="396"/>
      <c r="J278" s="188"/>
      <c r="K278" s="397"/>
      <c r="L278" s="398"/>
      <c r="M278" s="396"/>
      <c r="N278" s="396"/>
      <c r="O278" s="396"/>
      <c r="P278" s="397"/>
    </row>
    <row r="279" spans="1:16">
      <c r="A279" s="191"/>
      <c r="B279" s="141"/>
      <c r="C279" s="196" t="s">
        <v>233</v>
      </c>
      <c r="D279" s="399" t="s">
        <v>1</v>
      </c>
      <c r="E279" s="393">
        <f>(33.08*1.2)/25</f>
        <v>1.5878399999999999</v>
      </c>
      <c r="F279" s="394"/>
      <c r="G279" s="396"/>
      <c r="H279" s="396"/>
      <c r="I279" s="396"/>
      <c r="J279" s="188"/>
      <c r="K279" s="397"/>
      <c r="L279" s="398"/>
      <c r="M279" s="396"/>
      <c r="N279" s="396"/>
      <c r="O279" s="396"/>
      <c r="P279" s="397"/>
    </row>
    <row r="280" spans="1:16">
      <c r="A280" s="440" t="s">
        <v>10</v>
      </c>
      <c r="B280" s="441" t="s">
        <v>297</v>
      </c>
      <c r="C280" s="442" t="s">
        <v>298</v>
      </c>
      <c r="D280" s="392" t="s">
        <v>75</v>
      </c>
      <c r="E280" s="359">
        <v>17.7</v>
      </c>
      <c r="F280" s="443"/>
      <c r="G280" s="439"/>
      <c r="H280" s="444"/>
      <c r="I280" s="444"/>
      <c r="J280" s="188"/>
      <c r="K280" s="445"/>
      <c r="L280" s="446"/>
      <c r="M280" s="444"/>
      <c r="N280" s="444"/>
      <c r="O280" s="444"/>
      <c r="P280" s="445"/>
    </row>
    <row r="281" spans="1:16">
      <c r="A281" s="440"/>
      <c r="B281" s="441"/>
      <c r="C281" s="447" t="s">
        <v>299</v>
      </c>
      <c r="D281" s="392" t="s">
        <v>75</v>
      </c>
      <c r="E281" s="448">
        <f>1.1*E280</f>
        <v>19.470000000000002</v>
      </c>
      <c r="F281" s="443"/>
      <c r="G281" s="444"/>
      <c r="H281" s="444"/>
      <c r="I281" s="444"/>
      <c r="J281" s="188"/>
      <c r="K281" s="445"/>
      <c r="L281" s="446"/>
      <c r="M281" s="444"/>
      <c r="N281" s="444"/>
      <c r="O281" s="444"/>
      <c r="P281" s="445"/>
    </row>
    <row r="282" spans="1:16">
      <c r="A282" s="440"/>
      <c r="B282" s="441"/>
      <c r="C282" s="449" t="s">
        <v>360</v>
      </c>
      <c r="D282" s="392" t="s">
        <v>76</v>
      </c>
      <c r="E282" s="448">
        <f>(E280*6)/25</f>
        <v>4.2479999999999993</v>
      </c>
      <c r="F282" s="443"/>
      <c r="G282" s="444"/>
      <c r="H282" s="444"/>
      <c r="I282" s="444"/>
      <c r="J282" s="188"/>
      <c r="K282" s="445"/>
      <c r="L282" s="446"/>
      <c r="M282" s="444"/>
      <c r="N282" s="444"/>
      <c r="O282" s="444"/>
      <c r="P282" s="445"/>
    </row>
    <row r="283" spans="1:16">
      <c r="A283" s="440"/>
      <c r="B283" s="441"/>
      <c r="C283" s="449" t="s">
        <v>238</v>
      </c>
      <c r="D283" s="392" t="s">
        <v>76</v>
      </c>
      <c r="E283" s="448">
        <f>(E280*0.6)/2</f>
        <v>5.31</v>
      </c>
      <c r="F283" s="443"/>
      <c r="G283" s="444"/>
      <c r="H283" s="444"/>
      <c r="I283" s="444"/>
      <c r="J283" s="188"/>
      <c r="K283" s="445"/>
      <c r="L283" s="446"/>
      <c r="M283" s="444"/>
      <c r="N283" s="444"/>
      <c r="O283" s="444"/>
      <c r="P283" s="445"/>
    </row>
    <row r="284" spans="1:16" ht="12.75" customHeight="1">
      <c r="A284" s="440"/>
      <c r="B284" s="441"/>
      <c r="C284" s="450" t="s">
        <v>146</v>
      </c>
      <c r="D284" s="451" t="s">
        <v>76</v>
      </c>
      <c r="E284" s="452">
        <v>1</v>
      </c>
      <c r="F284" s="443"/>
      <c r="G284" s="444"/>
      <c r="H284" s="444"/>
      <c r="I284" s="444"/>
      <c r="J284" s="188"/>
      <c r="K284" s="445"/>
      <c r="L284" s="446"/>
      <c r="M284" s="444"/>
      <c r="N284" s="444"/>
      <c r="O284" s="444"/>
      <c r="P284" s="445"/>
    </row>
    <row r="285" spans="1:16">
      <c r="A285" s="440" t="s">
        <v>11</v>
      </c>
      <c r="B285" s="441" t="s">
        <v>300</v>
      </c>
      <c r="C285" s="442" t="s">
        <v>301</v>
      </c>
      <c r="D285" s="392" t="s">
        <v>2</v>
      </c>
      <c r="E285" s="359">
        <v>27.46</v>
      </c>
      <c r="F285" s="443"/>
      <c r="G285" s="439"/>
      <c r="H285" s="444"/>
      <c r="I285" s="444"/>
      <c r="J285" s="188"/>
      <c r="K285" s="445"/>
      <c r="L285" s="446"/>
      <c r="M285" s="444"/>
      <c r="N285" s="444"/>
      <c r="O285" s="444"/>
      <c r="P285" s="445"/>
    </row>
    <row r="286" spans="1:16">
      <c r="A286" s="440"/>
      <c r="B286" s="441"/>
      <c r="C286" s="447" t="s">
        <v>299</v>
      </c>
      <c r="D286" s="392" t="s">
        <v>75</v>
      </c>
      <c r="E286" s="448">
        <f>1.1*E285*0.15</f>
        <v>4.5308999999999999</v>
      </c>
      <c r="F286" s="443"/>
      <c r="G286" s="444"/>
      <c r="H286" s="444"/>
      <c r="I286" s="444"/>
      <c r="J286" s="188"/>
      <c r="K286" s="445"/>
      <c r="L286" s="446"/>
      <c r="M286" s="444"/>
      <c r="N286" s="444"/>
      <c r="O286" s="444"/>
      <c r="P286" s="445"/>
    </row>
    <row r="287" spans="1:16">
      <c r="A287" s="440"/>
      <c r="B287" s="441"/>
      <c r="C287" s="449" t="s">
        <v>237</v>
      </c>
      <c r="D287" s="392" t="s">
        <v>76</v>
      </c>
      <c r="E287" s="448">
        <f>(E286*6)/25</f>
        <v>1.0874160000000002</v>
      </c>
      <c r="F287" s="443"/>
      <c r="G287" s="444"/>
      <c r="H287" s="444"/>
      <c r="I287" s="444"/>
      <c r="J287" s="188"/>
      <c r="K287" s="445"/>
      <c r="L287" s="446"/>
      <c r="M287" s="444"/>
      <c r="N287" s="444"/>
      <c r="O287" s="444"/>
      <c r="P287" s="445"/>
    </row>
    <row r="288" spans="1:16">
      <c r="A288" s="440"/>
      <c r="B288" s="441"/>
      <c r="C288" s="449" t="s">
        <v>238</v>
      </c>
      <c r="D288" s="392" t="s">
        <v>76</v>
      </c>
      <c r="E288" s="448">
        <f>(E286*0.6)/2</f>
        <v>1.35927</v>
      </c>
      <c r="F288" s="443"/>
      <c r="G288" s="444"/>
      <c r="H288" s="444"/>
      <c r="I288" s="444"/>
      <c r="J288" s="188"/>
      <c r="K288" s="445"/>
      <c r="L288" s="446"/>
      <c r="M288" s="444"/>
      <c r="N288" s="444"/>
      <c r="O288" s="444"/>
      <c r="P288" s="445"/>
    </row>
    <row r="289" spans="1:16">
      <c r="A289" s="440"/>
      <c r="B289" s="441"/>
      <c r="C289" s="450" t="s">
        <v>146</v>
      </c>
      <c r="D289" s="451" t="s">
        <v>76</v>
      </c>
      <c r="E289" s="452">
        <v>1</v>
      </c>
      <c r="F289" s="443"/>
      <c r="G289" s="444"/>
      <c r="H289" s="444"/>
      <c r="I289" s="444"/>
      <c r="J289" s="188"/>
      <c r="K289" s="445"/>
      <c r="L289" s="446"/>
      <c r="M289" s="444"/>
      <c r="N289" s="444"/>
      <c r="O289" s="444"/>
      <c r="P289" s="445"/>
    </row>
    <row r="290" spans="1:16" ht="22.5">
      <c r="A290" s="375">
        <v>7</v>
      </c>
      <c r="B290" s="453" t="s">
        <v>334</v>
      </c>
      <c r="C290" s="362" t="s">
        <v>335</v>
      </c>
      <c r="D290" s="209" t="s">
        <v>75</v>
      </c>
      <c r="E290" s="359">
        <v>78.72</v>
      </c>
      <c r="F290" s="187"/>
      <c r="G290" s="183"/>
      <c r="H290" s="183"/>
      <c r="I290" s="183"/>
      <c r="J290" s="183"/>
      <c r="K290" s="189"/>
      <c r="L290" s="190"/>
      <c r="M290" s="183"/>
      <c r="N290" s="183"/>
      <c r="O290" s="183"/>
      <c r="P290" s="189"/>
    </row>
    <row r="291" spans="1:16">
      <c r="A291" s="375"/>
      <c r="B291" s="361"/>
      <c r="C291" s="454" t="s">
        <v>336</v>
      </c>
      <c r="D291" s="209" t="s">
        <v>1</v>
      </c>
      <c r="E291" s="246">
        <f>0.15*E290/15</f>
        <v>0.78720000000000001</v>
      </c>
      <c r="F291" s="187"/>
      <c r="G291" s="183"/>
      <c r="H291" s="183"/>
      <c r="I291" s="183"/>
      <c r="J291" s="183"/>
      <c r="K291" s="189"/>
      <c r="L291" s="190"/>
      <c r="M291" s="183"/>
      <c r="N291" s="183"/>
      <c r="O291" s="183"/>
      <c r="P291" s="189"/>
    </row>
    <row r="292" spans="1:16">
      <c r="A292" s="375"/>
      <c r="B292" s="361"/>
      <c r="C292" s="247" t="s">
        <v>337</v>
      </c>
      <c r="D292" s="209" t="s">
        <v>1</v>
      </c>
      <c r="E292" s="455">
        <f>1*E290/25</f>
        <v>3.1488</v>
      </c>
      <c r="F292" s="187"/>
      <c r="G292" s="183"/>
      <c r="H292" s="183"/>
      <c r="I292" s="183"/>
      <c r="J292" s="183"/>
      <c r="K292" s="189"/>
      <c r="L292" s="190"/>
      <c r="M292" s="183"/>
      <c r="N292" s="183"/>
      <c r="O292" s="183"/>
      <c r="P292" s="189"/>
    </row>
    <row r="293" spans="1:16">
      <c r="A293" s="184" t="s">
        <v>29</v>
      </c>
      <c r="B293" s="185" t="s">
        <v>302</v>
      </c>
      <c r="C293" s="436" t="s">
        <v>303</v>
      </c>
      <c r="D293" s="209" t="s">
        <v>75</v>
      </c>
      <c r="E293" s="359">
        <v>78.72</v>
      </c>
      <c r="F293" s="187"/>
      <c r="G293" s="188"/>
      <c r="H293" s="183"/>
      <c r="I293" s="183"/>
      <c r="J293" s="183"/>
      <c r="K293" s="189"/>
      <c r="L293" s="190"/>
      <c r="M293" s="183"/>
      <c r="N293" s="183"/>
      <c r="O293" s="183"/>
      <c r="P293" s="189"/>
    </row>
    <row r="294" spans="1:16">
      <c r="A294" s="184"/>
      <c r="B294" s="185"/>
      <c r="C294" s="210" t="s">
        <v>304</v>
      </c>
      <c r="D294" s="209" t="s">
        <v>75</v>
      </c>
      <c r="E294" s="246">
        <f>1.05*E293</f>
        <v>82.656000000000006</v>
      </c>
      <c r="F294" s="187"/>
      <c r="G294" s="183"/>
      <c r="H294" s="183"/>
      <c r="I294" s="183"/>
      <c r="J294" s="183"/>
      <c r="K294" s="189"/>
      <c r="L294" s="190"/>
      <c r="M294" s="183"/>
      <c r="N294" s="183"/>
      <c r="O294" s="183"/>
      <c r="P294" s="189"/>
    </row>
    <row r="295" spans="1:16">
      <c r="A295" s="184"/>
      <c r="B295" s="185"/>
      <c r="C295" s="210" t="s">
        <v>305</v>
      </c>
      <c r="D295" s="209" t="s">
        <v>76</v>
      </c>
      <c r="E295" s="246">
        <f>0.3*E293/12</f>
        <v>1.968</v>
      </c>
      <c r="F295" s="187"/>
      <c r="G295" s="183"/>
      <c r="H295" s="183"/>
      <c r="I295" s="183"/>
      <c r="J295" s="183"/>
      <c r="K295" s="189"/>
      <c r="L295" s="190"/>
      <c r="M295" s="183"/>
      <c r="N295" s="183"/>
      <c r="O295" s="183"/>
      <c r="P295" s="189"/>
    </row>
    <row r="296" spans="1:16">
      <c r="A296" s="184"/>
      <c r="B296" s="185"/>
      <c r="C296" s="210" t="s">
        <v>306</v>
      </c>
      <c r="D296" s="209" t="s">
        <v>74</v>
      </c>
      <c r="E296" s="246">
        <f>E293/2</f>
        <v>39.36</v>
      </c>
      <c r="F296" s="187"/>
      <c r="G296" s="183"/>
      <c r="H296" s="183"/>
      <c r="I296" s="183"/>
      <c r="J296" s="183"/>
      <c r="K296" s="189"/>
      <c r="L296" s="190"/>
      <c r="M296" s="183"/>
      <c r="N296" s="183"/>
      <c r="O296" s="183"/>
      <c r="P296" s="189"/>
    </row>
    <row r="297" spans="1:16">
      <c r="A297" s="184" t="s">
        <v>33</v>
      </c>
      <c r="B297" s="185" t="s">
        <v>307</v>
      </c>
      <c r="C297" s="436" t="s">
        <v>308</v>
      </c>
      <c r="D297" s="209" t="s">
        <v>2</v>
      </c>
      <c r="E297" s="359">
        <v>66.7</v>
      </c>
      <c r="F297" s="187"/>
      <c r="G297" s="188"/>
      <c r="H297" s="183"/>
      <c r="I297" s="183"/>
      <c r="J297" s="183"/>
      <c r="K297" s="189"/>
      <c r="L297" s="190"/>
      <c r="M297" s="183"/>
      <c r="N297" s="183"/>
      <c r="O297" s="183"/>
      <c r="P297" s="189"/>
    </row>
    <row r="298" spans="1:16">
      <c r="A298" s="184"/>
      <c r="B298" s="185"/>
      <c r="C298" s="210" t="s">
        <v>309</v>
      </c>
      <c r="D298" s="209" t="s">
        <v>2</v>
      </c>
      <c r="E298" s="246">
        <f>1.05*E297</f>
        <v>70.035000000000011</v>
      </c>
      <c r="F298" s="187"/>
      <c r="G298" s="183"/>
      <c r="H298" s="183"/>
      <c r="I298" s="183"/>
      <c r="J298" s="183"/>
      <c r="K298" s="189"/>
      <c r="L298" s="190"/>
      <c r="M298" s="183"/>
      <c r="N298" s="183"/>
      <c r="O298" s="183"/>
      <c r="P298" s="189"/>
    </row>
    <row r="299" spans="1:16">
      <c r="A299" s="184"/>
      <c r="B299" s="185"/>
      <c r="C299" s="210" t="s">
        <v>267</v>
      </c>
      <c r="D299" s="209" t="s">
        <v>76</v>
      </c>
      <c r="E299" s="246">
        <f>E297/0.4</f>
        <v>166.75</v>
      </c>
      <c r="F299" s="187"/>
      <c r="G299" s="183"/>
      <c r="H299" s="183"/>
      <c r="I299" s="183"/>
      <c r="J299" s="183"/>
      <c r="K299" s="189"/>
      <c r="L299" s="190"/>
      <c r="M299" s="183"/>
      <c r="N299" s="183"/>
      <c r="O299" s="183"/>
      <c r="P299" s="189"/>
    </row>
    <row r="300" spans="1:16">
      <c r="A300" s="184"/>
      <c r="B300" s="185"/>
      <c r="C300" s="389" t="s">
        <v>268</v>
      </c>
      <c r="D300" s="209" t="s">
        <v>76</v>
      </c>
      <c r="E300" s="246">
        <f>(E297*0.15)*0.1/2.5</f>
        <v>0.40020000000000006</v>
      </c>
      <c r="F300" s="187"/>
      <c r="G300" s="183"/>
      <c r="H300" s="183"/>
      <c r="I300" s="183"/>
      <c r="J300" s="183"/>
      <c r="K300" s="189"/>
      <c r="L300" s="190"/>
      <c r="M300" s="183"/>
      <c r="N300" s="183"/>
      <c r="O300" s="183"/>
      <c r="P300" s="189"/>
    </row>
    <row r="301" spans="1:16">
      <c r="A301" s="184"/>
      <c r="B301" s="185"/>
      <c r="C301" s="210" t="s">
        <v>93</v>
      </c>
      <c r="D301" s="209" t="s">
        <v>2</v>
      </c>
      <c r="E301" s="246">
        <f>0.03*E297</f>
        <v>2.0009999999999999</v>
      </c>
      <c r="F301" s="187"/>
      <c r="G301" s="183"/>
      <c r="H301" s="183"/>
      <c r="I301" s="183"/>
      <c r="J301" s="183"/>
      <c r="K301" s="189"/>
      <c r="L301" s="190"/>
      <c r="M301" s="183"/>
      <c r="N301" s="183"/>
      <c r="O301" s="183"/>
      <c r="P301" s="189"/>
    </row>
    <row r="302" spans="1:16">
      <c r="A302" s="184"/>
      <c r="B302" s="185"/>
      <c r="C302" s="456" t="s">
        <v>310</v>
      </c>
      <c r="D302" s="209" t="s">
        <v>76</v>
      </c>
      <c r="E302" s="246">
        <f>(E297*0.2*0.2)/2.7</f>
        <v>0.98814814814814833</v>
      </c>
      <c r="F302" s="187"/>
      <c r="G302" s="183"/>
      <c r="H302" s="183"/>
      <c r="I302" s="183"/>
      <c r="J302" s="183"/>
      <c r="K302" s="189"/>
      <c r="L302" s="190"/>
      <c r="M302" s="183"/>
      <c r="N302" s="183"/>
      <c r="O302" s="183"/>
      <c r="P302" s="189"/>
    </row>
    <row r="303" spans="1:16" ht="22.5">
      <c r="A303" s="184"/>
      <c r="B303" s="185"/>
      <c r="C303" s="247" t="s">
        <v>94</v>
      </c>
      <c r="D303" s="209" t="s">
        <v>95</v>
      </c>
      <c r="E303" s="363">
        <f>0.1*E297</f>
        <v>6.6700000000000008</v>
      </c>
      <c r="F303" s="187"/>
      <c r="G303" s="183"/>
      <c r="H303" s="183"/>
      <c r="I303" s="183"/>
      <c r="J303" s="183"/>
      <c r="K303" s="189"/>
      <c r="L303" s="190"/>
      <c r="M303" s="183"/>
      <c r="N303" s="183"/>
      <c r="O303" s="183"/>
      <c r="P303" s="189"/>
    </row>
    <row r="304" spans="1:16">
      <c r="A304" s="184" t="s">
        <v>111</v>
      </c>
      <c r="B304" s="185" t="s">
        <v>27</v>
      </c>
      <c r="C304" s="436" t="s">
        <v>311</v>
      </c>
      <c r="D304" s="209" t="s">
        <v>2</v>
      </c>
      <c r="E304" s="359">
        <v>6.3</v>
      </c>
      <c r="F304" s="187"/>
      <c r="G304" s="188"/>
      <c r="H304" s="183"/>
      <c r="I304" s="183"/>
      <c r="J304" s="183"/>
      <c r="K304" s="189"/>
      <c r="L304" s="190"/>
      <c r="M304" s="183"/>
      <c r="N304" s="183"/>
      <c r="O304" s="183"/>
      <c r="P304" s="189"/>
    </row>
    <row r="305" spans="1:16">
      <c r="A305" s="184"/>
      <c r="B305" s="185"/>
      <c r="C305" s="210" t="s">
        <v>312</v>
      </c>
      <c r="D305" s="209" t="s">
        <v>2</v>
      </c>
      <c r="E305" s="246">
        <f>1.05*E304</f>
        <v>6.6150000000000002</v>
      </c>
      <c r="F305" s="187"/>
      <c r="G305" s="183"/>
      <c r="H305" s="183"/>
      <c r="I305" s="183"/>
      <c r="J305" s="183"/>
      <c r="K305" s="189"/>
      <c r="L305" s="190"/>
      <c r="M305" s="183"/>
      <c r="N305" s="183"/>
      <c r="O305" s="183"/>
      <c r="P305" s="189"/>
    </row>
    <row r="306" spans="1:16">
      <c r="A306" s="184"/>
      <c r="B306" s="185"/>
      <c r="C306" s="210" t="s">
        <v>267</v>
      </c>
      <c r="D306" s="209" t="s">
        <v>76</v>
      </c>
      <c r="E306" s="246">
        <f>E304/0.2</f>
        <v>31.499999999999996</v>
      </c>
      <c r="F306" s="187"/>
      <c r="G306" s="183"/>
      <c r="H306" s="183"/>
      <c r="I306" s="183"/>
      <c r="J306" s="183"/>
      <c r="K306" s="189"/>
      <c r="L306" s="190"/>
      <c r="M306" s="183"/>
      <c r="N306" s="183"/>
      <c r="O306" s="183"/>
      <c r="P306" s="189"/>
    </row>
    <row r="307" spans="1:16">
      <c r="A307" s="200"/>
      <c r="B307" s="141"/>
      <c r="C307" s="318" t="s">
        <v>199</v>
      </c>
      <c r="D307" s="195"/>
      <c r="E307" s="182"/>
      <c r="F307" s="197"/>
      <c r="G307" s="193"/>
      <c r="H307" s="193"/>
      <c r="I307" s="193"/>
      <c r="J307" s="193"/>
      <c r="K307" s="194"/>
      <c r="L307" s="198"/>
      <c r="M307" s="193"/>
      <c r="N307" s="193"/>
      <c r="O307" s="193"/>
      <c r="P307" s="194"/>
    </row>
    <row r="308" spans="1:16" ht="33.75">
      <c r="A308" s="465">
        <v>1</v>
      </c>
      <c r="B308" s="365" t="s">
        <v>101</v>
      </c>
      <c r="C308" s="466" t="s">
        <v>102</v>
      </c>
      <c r="D308" s="366" t="s">
        <v>77</v>
      </c>
      <c r="E308" s="367">
        <v>160.18</v>
      </c>
      <c r="F308" s="368"/>
      <c r="G308" s="467"/>
      <c r="H308" s="369"/>
      <c r="I308" s="369"/>
      <c r="J308" s="369"/>
      <c r="K308" s="370"/>
      <c r="L308" s="371"/>
      <c r="M308" s="369"/>
      <c r="N308" s="369"/>
      <c r="O308" s="369"/>
      <c r="P308" s="370"/>
    </row>
    <row r="309" spans="1:16">
      <c r="A309" s="200"/>
      <c r="B309" s="141"/>
      <c r="C309" s="196" t="s">
        <v>103</v>
      </c>
      <c r="D309" s="195" t="s">
        <v>75</v>
      </c>
      <c r="E309" s="182">
        <f>E308</f>
        <v>160.18</v>
      </c>
      <c r="F309" s="197"/>
      <c r="G309" s="193"/>
      <c r="H309" s="193"/>
      <c r="I309" s="193"/>
      <c r="J309" s="193"/>
      <c r="K309" s="194"/>
      <c r="L309" s="198"/>
      <c r="M309" s="193"/>
      <c r="N309" s="193"/>
      <c r="O309" s="193"/>
      <c r="P309" s="194"/>
    </row>
    <row r="310" spans="1:16" ht="22.5">
      <c r="A310" s="468" t="s">
        <v>7</v>
      </c>
      <c r="B310" s="469" t="s">
        <v>27</v>
      </c>
      <c r="C310" s="376" t="s">
        <v>197</v>
      </c>
      <c r="D310" s="470" t="s">
        <v>2</v>
      </c>
      <c r="E310" s="336">
        <v>9.1</v>
      </c>
      <c r="F310" s="471"/>
      <c r="G310" s="193"/>
      <c r="H310" s="459"/>
      <c r="I310" s="459"/>
      <c r="J310" s="459"/>
      <c r="K310" s="472"/>
      <c r="L310" s="473"/>
      <c r="M310" s="459"/>
      <c r="N310" s="459"/>
      <c r="O310" s="459"/>
      <c r="P310" s="472"/>
    </row>
    <row r="311" spans="1:16">
      <c r="A311" s="200">
        <v>3</v>
      </c>
      <c r="B311" s="192" t="s">
        <v>27</v>
      </c>
      <c r="C311" s="373" t="s">
        <v>129</v>
      </c>
      <c r="D311" s="195" t="s">
        <v>75</v>
      </c>
      <c r="E311" s="182">
        <v>10.01</v>
      </c>
      <c r="F311" s="197"/>
      <c r="G311" s="459"/>
      <c r="H311" s="193"/>
      <c r="I311" s="193"/>
      <c r="J311" s="193"/>
      <c r="K311" s="194"/>
      <c r="L311" s="198"/>
      <c r="M311" s="193"/>
      <c r="N311" s="193"/>
      <c r="O311" s="193"/>
      <c r="P311" s="194"/>
    </row>
    <row r="312" spans="1:16" ht="33.75">
      <c r="A312" s="200"/>
      <c r="B312" s="192"/>
      <c r="C312" s="211" t="s">
        <v>104</v>
      </c>
      <c r="D312" s="195" t="s">
        <v>75</v>
      </c>
      <c r="E312" s="182">
        <f>E311*1.2</f>
        <v>12.011999999999999</v>
      </c>
      <c r="F312" s="197"/>
      <c r="G312" s="193"/>
      <c r="H312" s="193"/>
      <c r="I312" s="249"/>
      <c r="J312" s="193"/>
      <c r="K312" s="194"/>
      <c r="L312" s="198"/>
      <c r="M312" s="193"/>
      <c r="N312" s="193"/>
      <c r="O312" s="193"/>
      <c r="P312" s="194"/>
    </row>
    <row r="313" spans="1:16">
      <c r="A313" s="200"/>
      <c r="B313" s="192"/>
      <c r="C313" s="196" t="s">
        <v>105</v>
      </c>
      <c r="D313" s="195" t="s">
        <v>0</v>
      </c>
      <c r="E313" s="182">
        <f>1*E311/25</f>
        <v>0.40039999999999998</v>
      </c>
      <c r="F313" s="197"/>
      <c r="G313" s="193"/>
      <c r="H313" s="193"/>
      <c r="I313" s="193"/>
      <c r="J313" s="193"/>
      <c r="K313" s="194"/>
      <c r="L313" s="198"/>
      <c r="M313" s="193"/>
      <c r="N313" s="193"/>
      <c r="O313" s="193"/>
      <c r="P313" s="194"/>
    </row>
    <row r="314" spans="1:16">
      <c r="A314" s="230">
        <v>4</v>
      </c>
      <c r="B314" s="405" t="s">
        <v>98</v>
      </c>
      <c r="C314" s="474" t="s">
        <v>138</v>
      </c>
      <c r="D314" s="209" t="s">
        <v>77</v>
      </c>
      <c r="E314" s="246">
        <v>146.30000000000001</v>
      </c>
      <c r="F314" s="384"/>
      <c r="G314" s="459"/>
      <c r="H314" s="188"/>
      <c r="I314" s="188"/>
      <c r="J314" s="183"/>
      <c r="K314" s="207"/>
      <c r="L314" s="208"/>
      <c r="M314" s="188"/>
      <c r="N314" s="188"/>
      <c r="O314" s="188"/>
      <c r="P314" s="207"/>
    </row>
    <row r="315" spans="1:16">
      <c r="A315" s="184"/>
      <c r="B315" s="185"/>
      <c r="C315" s="210" t="s">
        <v>137</v>
      </c>
      <c r="D315" s="209" t="s">
        <v>155</v>
      </c>
      <c r="E315" s="246">
        <f>E314*0.15</f>
        <v>21.945</v>
      </c>
      <c r="F315" s="232"/>
      <c r="G315" s="188"/>
      <c r="H315" s="188"/>
      <c r="I315" s="212"/>
      <c r="J315" s="188"/>
      <c r="K315" s="207"/>
      <c r="L315" s="208"/>
      <c r="M315" s="188"/>
      <c r="N315" s="188"/>
      <c r="O315" s="183"/>
      <c r="P315" s="189"/>
    </row>
    <row r="316" spans="1:16">
      <c r="A316" s="230">
        <v>5</v>
      </c>
      <c r="B316" s="405" t="s">
        <v>98</v>
      </c>
      <c r="C316" s="474" t="s">
        <v>145</v>
      </c>
      <c r="D316" s="209" t="s">
        <v>74</v>
      </c>
      <c r="E316" s="246">
        <v>52.88</v>
      </c>
      <c r="F316" s="384"/>
      <c r="G316" s="475"/>
      <c r="H316" s="188"/>
      <c r="I316" s="188"/>
      <c r="J316" s="183"/>
      <c r="K316" s="207"/>
      <c r="L316" s="208"/>
      <c r="M316" s="188"/>
      <c r="N316" s="188"/>
      <c r="O316" s="188"/>
      <c r="P316" s="207"/>
    </row>
    <row r="317" spans="1:16" ht="22.5">
      <c r="A317" s="184"/>
      <c r="B317" s="185"/>
      <c r="C317" s="250" t="s">
        <v>161</v>
      </c>
      <c r="D317" s="209" t="s">
        <v>2</v>
      </c>
      <c r="E317" s="246">
        <f>1.1*E316</f>
        <v>58.168000000000006</v>
      </c>
      <c r="F317" s="187"/>
      <c r="G317" s="183"/>
      <c r="H317" s="183"/>
      <c r="I317" s="183"/>
      <c r="J317" s="183"/>
      <c r="K317" s="189"/>
      <c r="L317" s="190"/>
      <c r="M317" s="183"/>
      <c r="N317" s="183"/>
      <c r="O317" s="183"/>
      <c r="P317" s="189"/>
    </row>
    <row r="318" spans="1:16" ht="33.75">
      <c r="A318" s="230">
        <v>6</v>
      </c>
      <c r="B318" s="405" t="s">
        <v>98</v>
      </c>
      <c r="C318" s="476" t="s">
        <v>201</v>
      </c>
      <c r="D318" s="195" t="s">
        <v>75</v>
      </c>
      <c r="E318" s="246">
        <v>146.30000000000001</v>
      </c>
      <c r="F318" s="384"/>
      <c r="G318" s="459"/>
      <c r="H318" s="188"/>
      <c r="I318" s="188"/>
      <c r="J318" s="193"/>
      <c r="K318" s="207"/>
      <c r="L318" s="208"/>
      <c r="M318" s="188"/>
      <c r="N318" s="188"/>
      <c r="O318" s="188"/>
      <c r="P318" s="207"/>
    </row>
    <row r="319" spans="1:16">
      <c r="A319" s="230"/>
      <c r="B319" s="231"/>
      <c r="C319" s="211" t="s">
        <v>202</v>
      </c>
      <c r="D319" s="195" t="s">
        <v>75</v>
      </c>
      <c r="E319" s="182">
        <f>((E318)*1.05)</f>
        <v>153.61500000000001</v>
      </c>
      <c r="F319" s="232"/>
      <c r="G319" s="188"/>
      <c r="H319" s="188"/>
      <c r="I319" s="212"/>
      <c r="J319" s="188"/>
      <c r="K319" s="207"/>
      <c r="L319" s="208"/>
      <c r="M319" s="188"/>
      <c r="N319" s="188"/>
      <c r="O319" s="188"/>
      <c r="P319" s="207"/>
    </row>
    <row r="320" spans="1:16">
      <c r="A320" s="230"/>
      <c r="B320" s="231"/>
      <c r="C320" s="196" t="s">
        <v>99</v>
      </c>
      <c r="D320" s="195" t="s">
        <v>78</v>
      </c>
      <c r="E320" s="182">
        <f>((E318)*6)</f>
        <v>877.80000000000007</v>
      </c>
      <c r="F320" s="232"/>
      <c r="G320" s="188"/>
      <c r="H320" s="188"/>
      <c r="I320" s="212"/>
      <c r="J320" s="188"/>
      <c r="K320" s="207"/>
      <c r="L320" s="208"/>
      <c r="M320" s="188"/>
      <c r="N320" s="188"/>
      <c r="O320" s="188"/>
      <c r="P320" s="207"/>
    </row>
    <row r="321" spans="1:16">
      <c r="A321" s="230"/>
      <c r="B321" s="231"/>
      <c r="C321" s="196" t="s">
        <v>196</v>
      </c>
      <c r="D321" s="195" t="s">
        <v>76</v>
      </c>
      <c r="E321" s="182">
        <f>(E318)*4</f>
        <v>585.20000000000005</v>
      </c>
      <c r="F321" s="232"/>
      <c r="G321" s="188"/>
      <c r="H321" s="188"/>
      <c r="I321" s="212"/>
      <c r="J321" s="188"/>
      <c r="K321" s="207"/>
      <c r="L321" s="208"/>
      <c r="M321" s="188"/>
      <c r="N321" s="188"/>
      <c r="O321" s="188"/>
      <c r="P321" s="207"/>
    </row>
    <row r="322" spans="1:16" ht="33.75">
      <c r="A322" s="191" t="s">
        <v>28</v>
      </c>
      <c r="B322" s="390" t="s">
        <v>112</v>
      </c>
      <c r="C322" s="477" t="s">
        <v>130</v>
      </c>
      <c r="D322" s="195" t="s">
        <v>75</v>
      </c>
      <c r="E322" s="246">
        <v>146.30000000000001</v>
      </c>
      <c r="F322" s="197"/>
      <c r="G322" s="459"/>
      <c r="H322" s="193"/>
      <c r="I322" s="193"/>
      <c r="J322" s="193"/>
      <c r="K322" s="194"/>
      <c r="L322" s="198"/>
      <c r="M322" s="193"/>
      <c r="N322" s="193"/>
      <c r="O322" s="193"/>
      <c r="P322" s="194"/>
    </row>
    <row r="323" spans="1:16">
      <c r="A323" s="191"/>
      <c r="B323" s="141"/>
      <c r="C323" s="211" t="s">
        <v>113</v>
      </c>
      <c r="D323" s="195" t="s">
        <v>75</v>
      </c>
      <c r="E323" s="182">
        <f>((E322)*1.2)</f>
        <v>175.56</v>
      </c>
      <c r="F323" s="197"/>
      <c r="G323" s="193"/>
      <c r="H323" s="193"/>
      <c r="I323" s="183"/>
      <c r="J323" s="193"/>
      <c r="K323" s="194"/>
      <c r="L323" s="198"/>
      <c r="M323" s="193"/>
      <c r="N323" s="193"/>
      <c r="O323" s="193"/>
      <c r="P323" s="194"/>
    </row>
    <row r="324" spans="1:16">
      <c r="A324" s="191"/>
      <c r="B324" s="141"/>
      <c r="C324" s="211" t="s">
        <v>87</v>
      </c>
      <c r="D324" s="195" t="s">
        <v>78</v>
      </c>
      <c r="E324" s="251">
        <f>((E322)*5)</f>
        <v>731.5</v>
      </c>
      <c r="F324" s="197"/>
      <c r="G324" s="193"/>
      <c r="H324" s="193"/>
      <c r="I324" s="183"/>
      <c r="J324" s="193"/>
      <c r="K324" s="194"/>
      <c r="L324" s="198"/>
      <c r="M324" s="193"/>
      <c r="N324" s="193"/>
      <c r="O324" s="193"/>
      <c r="P324" s="194"/>
    </row>
    <row r="325" spans="1:16" ht="22.5">
      <c r="A325" s="191" t="s">
        <v>29</v>
      </c>
      <c r="B325" s="141" t="s">
        <v>27</v>
      </c>
      <c r="C325" s="373" t="s">
        <v>132</v>
      </c>
      <c r="D325" s="195" t="s">
        <v>2</v>
      </c>
      <c r="E325" s="182">
        <v>8.1</v>
      </c>
      <c r="F325" s="197"/>
      <c r="G325" s="459"/>
      <c r="H325" s="193"/>
      <c r="I325" s="193"/>
      <c r="J325" s="193"/>
      <c r="K325" s="194"/>
      <c r="L325" s="198"/>
      <c r="M325" s="193"/>
      <c r="N325" s="193"/>
      <c r="O325" s="193"/>
      <c r="P325" s="194"/>
    </row>
    <row r="326" spans="1:16" ht="22.5">
      <c r="A326" s="191"/>
      <c r="B326" s="141"/>
      <c r="C326" s="211" t="s">
        <v>157</v>
      </c>
      <c r="D326" s="195" t="s">
        <v>74</v>
      </c>
      <c r="E326" s="182">
        <f>E325*1.05</f>
        <v>8.5050000000000008</v>
      </c>
      <c r="F326" s="197"/>
      <c r="G326" s="193"/>
      <c r="H326" s="193"/>
      <c r="I326" s="193"/>
      <c r="J326" s="193"/>
      <c r="K326" s="194"/>
      <c r="L326" s="198"/>
      <c r="M326" s="193"/>
      <c r="N326" s="193"/>
      <c r="O326" s="193"/>
      <c r="P326" s="194"/>
    </row>
    <row r="327" spans="1:16" ht="22.5">
      <c r="A327" s="191" t="s">
        <v>33</v>
      </c>
      <c r="B327" s="141" t="s">
        <v>27</v>
      </c>
      <c r="C327" s="373" t="s">
        <v>156</v>
      </c>
      <c r="D327" s="195" t="s">
        <v>2</v>
      </c>
      <c r="E327" s="182">
        <f>SUM(E328:E330)</f>
        <v>71.83</v>
      </c>
      <c r="F327" s="197"/>
      <c r="G327" s="459"/>
      <c r="H327" s="193"/>
      <c r="I327" s="193"/>
      <c r="J327" s="193"/>
      <c r="K327" s="194"/>
      <c r="L327" s="198"/>
      <c r="M327" s="193"/>
      <c r="N327" s="193"/>
      <c r="O327" s="193"/>
      <c r="P327" s="194"/>
    </row>
    <row r="328" spans="1:16" ht="22.5">
      <c r="A328" s="191"/>
      <c r="B328" s="141"/>
      <c r="C328" s="211" t="s">
        <v>159</v>
      </c>
      <c r="D328" s="195" t="s">
        <v>2</v>
      </c>
      <c r="E328" s="182">
        <v>46.53</v>
      </c>
      <c r="F328" s="197"/>
      <c r="G328" s="193"/>
      <c r="H328" s="193"/>
      <c r="I328" s="193"/>
      <c r="J328" s="193"/>
      <c r="K328" s="194"/>
      <c r="L328" s="198"/>
      <c r="M328" s="193"/>
      <c r="N328" s="193"/>
      <c r="O328" s="193"/>
      <c r="P328" s="194"/>
    </row>
    <row r="329" spans="1:16" ht="22.5">
      <c r="A329" s="191"/>
      <c r="B329" s="141"/>
      <c r="C329" s="211" t="s">
        <v>158</v>
      </c>
      <c r="D329" s="195" t="s">
        <v>2</v>
      </c>
      <c r="E329" s="182">
        <v>12.65</v>
      </c>
      <c r="F329" s="197"/>
      <c r="G329" s="193"/>
      <c r="H329" s="193"/>
      <c r="I329" s="193"/>
      <c r="J329" s="193"/>
      <c r="K329" s="194"/>
      <c r="L329" s="198"/>
      <c r="M329" s="193"/>
      <c r="N329" s="193"/>
      <c r="O329" s="193"/>
      <c r="P329" s="194"/>
    </row>
    <row r="330" spans="1:16" ht="22.5">
      <c r="A330" s="191"/>
      <c r="B330" s="141"/>
      <c r="C330" s="211" t="s">
        <v>160</v>
      </c>
      <c r="D330" s="195" t="s">
        <v>2</v>
      </c>
      <c r="E330" s="182">
        <v>12.65</v>
      </c>
      <c r="F330" s="197"/>
      <c r="G330" s="193"/>
      <c r="H330" s="193"/>
      <c r="I330" s="193"/>
      <c r="J330" s="193"/>
      <c r="K330" s="194"/>
      <c r="L330" s="198"/>
      <c r="M330" s="193"/>
      <c r="N330" s="193"/>
      <c r="O330" s="193"/>
      <c r="P330" s="194"/>
    </row>
    <row r="331" spans="1:16" ht="33.75">
      <c r="A331" s="191" t="s">
        <v>111</v>
      </c>
      <c r="B331" s="390" t="s">
        <v>112</v>
      </c>
      <c r="C331" s="477" t="s">
        <v>131</v>
      </c>
      <c r="D331" s="195" t="s">
        <v>75</v>
      </c>
      <c r="E331" s="182">
        <v>8.07</v>
      </c>
      <c r="F331" s="197"/>
      <c r="G331" s="459"/>
      <c r="H331" s="193"/>
      <c r="I331" s="193"/>
      <c r="J331" s="193"/>
      <c r="K331" s="194"/>
      <c r="L331" s="198"/>
      <c r="M331" s="193"/>
      <c r="N331" s="193"/>
      <c r="O331" s="193"/>
      <c r="P331" s="194"/>
    </row>
    <row r="332" spans="1:16">
      <c r="A332" s="191"/>
      <c r="B332" s="141"/>
      <c r="C332" s="211" t="s">
        <v>113</v>
      </c>
      <c r="D332" s="195" t="s">
        <v>75</v>
      </c>
      <c r="E332" s="182">
        <f>((E331)*1.2)</f>
        <v>9.6839999999999993</v>
      </c>
      <c r="F332" s="197"/>
      <c r="G332" s="193"/>
      <c r="H332" s="193"/>
      <c r="I332" s="183"/>
      <c r="J332" s="193"/>
      <c r="K332" s="194"/>
      <c r="L332" s="198"/>
      <c r="M332" s="193"/>
      <c r="N332" s="193"/>
      <c r="O332" s="193"/>
      <c r="P332" s="194"/>
    </row>
    <row r="333" spans="1:16">
      <c r="A333" s="191"/>
      <c r="B333" s="141"/>
      <c r="C333" s="211" t="s">
        <v>87</v>
      </c>
      <c r="D333" s="195" t="s">
        <v>78</v>
      </c>
      <c r="E333" s="251">
        <f>((E331)*5)</f>
        <v>40.35</v>
      </c>
      <c r="F333" s="197"/>
      <c r="G333" s="193"/>
      <c r="H333" s="193"/>
      <c r="I333" s="183"/>
      <c r="J333" s="193"/>
      <c r="K333" s="194"/>
      <c r="L333" s="198"/>
      <c r="M333" s="193"/>
      <c r="N333" s="193"/>
      <c r="O333" s="193"/>
      <c r="P333" s="194"/>
    </row>
    <row r="334" spans="1:16" ht="33.75">
      <c r="A334" s="191" t="s">
        <v>114</v>
      </c>
      <c r="B334" s="141" t="s">
        <v>27</v>
      </c>
      <c r="C334" s="373" t="s">
        <v>162</v>
      </c>
      <c r="D334" s="195" t="s">
        <v>2</v>
      </c>
      <c r="E334" s="182">
        <v>45.6</v>
      </c>
      <c r="F334" s="197"/>
      <c r="G334" s="459"/>
      <c r="H334" s="193"/>
      <c r="I334" s="193"/>
      <c r="J334" s="193"/>
      <c r="K334" s="194"/>
      <c r="L334" s="198"/>
      <c r="M334" s="193"/>
      <c r="N334" s="193"/>
      <c r="O334" s="193"/>
      <c r="P334" s="194"/>
    </row>
    <row r="335" spans="1:16" ht="22.5">
      <c r="A335" s="191"/>
      <c r="B335" s="141"/>
      <c r="C335" s="211" t="s">
        <v>157</v>
      </c>
      <c r="D335" s="195" t="s">
        <v>2</v>
      </c>
      <c r="E335" s="182">
        <f>E334*1.05</f>
        <v>47.88</v>
      </c>
      <c r="F335" s="197"/>
      <c r="G335" s="193"/>
      <c r="H335" s="193"/>
      <c r="I335" s="193"/>
      <c r="J335" s="193"/>
      <c r="K335" s="194"/>
      <c r="L335" s="198"/>
      <c r="M335" s="193"/>
      <c r="N335" s="193"/>
      <c r="O335" s="193"/>
      <c r="P335" s="194"/>
    </row>
    <row r="336" spans="1:16" ht="22.5">
      <c r="A336" s="191" t="s">
        <v>115</v>
      </c>
      <c r="B336" s="390" t="s">
        <v>27</v>
      </c>
      <c r="C336" s="477" t="s">
        <v>119</v>
      </c>
      <c r="D336" s="195" t="s">
        <v>75</v>
      </c>
      <c r="E336" s="246">
        <v>146.30000000000001</v>
      </c>
      <c r="F336" s="197"/>
      <c r="G336" s="459"/>
      <c r="H336" s="193"/>
      <c r="I336" s="193"/>
      <c r="J336" s="193"/>
      <c r="K336" s="194"/>
      <c r="L336" s="198"/>
      <c r="M336" s="193"/>
      <c r="N336" s="193"/>
      <c r="O336" s="193"/>
      <c r="P336" s="194"/>
    </row>
    <row r="337" spans="1:16" ht="22.5">
      <c r="A337" s="191"/>
      <c r="B337" s="141"/>
      <c r="C337" s="211" t="s">
        <v>118</v>
      </c>
      <c r="D337" s="195" t="s">
        <v>78</v>
      </c>
      <c r="E337" s="182">
        <f>((E336)*0.2)</f>
        <v>29.260000000000005</v>
      </c>
      <c r="F337" s="197"/>
      <c r="G337" s="193"/>
      <c r="H337" s="193"/>
      <c r="I337" s="183"/>
      <c r="J337" s="193"/>
      <c r="K337" s="194"/>
      <c r="L337" s="198"/>
      <c r="M337" s="193"/>
      <c r="N337" s="193"/>
      <c r="O337" s="193"/>
      <c r="P337" s="194"/>
    </row>
    <row r="338" spans="1:16" ht="22.5">
      <c r="A338" s="191" t="s">
        <v>116</v>
      </c>
      <c r="B338" s="390" t="s">
        <v>27</v>
      </c>
      <c r="C338" s="477" t="s">
        <v>120</v>
      </c>
      <c r="D338" s="195" t="s">
        <v>75</v>
      </c>
      <c r="E338" s="182">
        <v>6.84</v>
      </c>
      <c r="F338" s="197"/>
      <c r="G338" s="459"/>
      <c r="H338" s="193"/>
      <c r="I338" s="193"/>
      <c r="J338" s="193"/>
      <c r="K338" s="194"/>
      <c r="L338" s="198"/>
      <c r="M338" s="193"/>
      <c r="N338" s="193"/>
      <c r="O338" s="193"/>
      <c r="P338" s="194"/>
    </row>
    <row r="339" spans="1:16" ht="22.5">
      <c r="A339" s="191"/>
      <c r="B339" s="141"/>
      <c r="C339" s="211" t="s">
        <v>118</v>
      </c>
      <c r="D339" s="195" t="s">
        <v>78</v>
      </c>
      <c r="E339" s="182">
        <f>((E338)*0.2)</f>
        <v>1.3680000000000001</v>
      </c>
      <c r="F339" s="197"/>
      <c r="G339" s="193"/>
      <c r="H339" s="193"/>
      <c r="I339" s="183"/>
      <c r="J339" s="193"/>
      <c r="K339" s="194"/>
      <c r="L339" s="198"/>
      <c r="M339" s="193"/>
      <c r="N339" s="193"/>
      <c r="O339" s="193"/>
      <c r="P339" s="194"/>
    </row>
    <row r="340" spans="1:16" ht="22.5">
      <c r="A340" s="191" t="s">
        <v>117</v>
      </c>
      <c r="B340" s="390" t="s">
        <v>121</v>
      </c>
      <c r="C340" s="373" t="s">
        <v>122</v>
      </c>
      <c r="D340" s="195" t="s">
        <v>75</v>
      </c>
      <c r="E340" s="246">
        <v>146.30000000000001</v>
      </c>
      <c r="F340" s="197"/>
      <c r="G340" s="459"/>
      <c r="H340" s="193"/>
      <c r="I340" s="193"/>
      <c r="J340" s="193"/>
      <c r="K340" s="194"/>
      <c r="L340" s="198"/>
      <c r="M340" s="193"/>
      <c r="N340" s="193"/>
      <c r="O340" s="193"/>
      <c r="P340" s="194"/>
    </row>
    <row r="341" spans="1:16" ht="22.5">
      <c r="A341" s="191"/>
      <c r="B341" s="141"/>
      <c r="C341" s="252" t="s">
        <v>123</v>
      </c>
      <c r="D341" s="195" t="s">
        <v>78</v>
      </c>
      <c r="E341" s="182">
        <f>((E340)*3.3)</f>
        <v>482.79</v>
      </c>
      <c r="F341" s="197"/>
      <c r="G341" s="193"/>
      <c r="H341" s="193"/>
      <c r="I341" s="183"/>
      <c r="J341" s="193"/>
      <c r="K341" s="194"/>
      <c r="L341" s="198"/>
      <c r="M341" s="193"/>
      <c r="N341" s="193"/>
      <c r="O341" s="193"/>
      <c r="P341" s="194"/>
    </row>
    <row r="342" spans="1:16" ht="22.5">
      <c r="A342" s="191"/>
      <c r="B342" s="141"/>
      <c r="C342" s="211" t="s">
        <v>94</v>
      </c>
      <c r="D342" s="195" t="s">
        <v>1</v>
      </c>
      <c r="E342" s="182">
        <f>1.5*(E340)/50</f>
        <v>4.3890000000000002</v>
      </c>
      <c r="F342" s="197"/>
      <c r="G342" s="193"/>
      <c r="H342" s="193"/>
      <c r="I342" s="183"/>
      <c r="J342" s="193"/>
      <c r="K342" s="194"/>
      <c r="L342" s="198"/>
      <c r="M342" s="193"/>
      <c r="N342" s="193"/>
      <c r="O342" s="193"/>
      <c r="P342" s="194"/>
    </row>
    <row r="343" spans="1:16" ht="22.5">
      <c r="A343" s="191" t="s">
        <v>139</v>
      </c>
      <c r="B343" s="390" t="s">
        <v>121</v>
      </c>
      <c r="C343" s="373" t="s">
        <v>124</v>
      </c>
      <c r="D343" s="195" t="s">
        <v>75</v>
      </c>
      <c r="E343" s="182">
        <v>6.84</v>
      </c>
      <c r="F343" s="197"/>
      <c r="G343" s="459"/>
      <c r="H343" s="193"/>
      <c r="I343" s="193"/>
      <c r="J343" s="193"/>
      <c r="K343" s="194"/>
      <c r="L343" s="198"/>
      <c r="M343" s="193"/>
      <c r="N343" s="193"/>
      <c r="O343" s="193"/>
      <c r="P343" s="194"/>
    </row>
    <row r="344" spans="1:16" ht="22.5">
      <c r="A344" s="191"/>
      <c r="B344" s="141"/>
      <c r="C344" s="252" t="s">
        <v>123</v>
      </c>
      <c r="D344" s="195" t="s">
        <v>78</v>
      </c>
      <c r="E344" s="182">
        <f>((E343)*3.3)</f>
        <v>22.571999999999999</v>
      </c>
      <c r="F344" s="197"/>
      <c r="G344" s="193"/>
      <c r="H344" s="193"/>
      <c r="I344" s="183"/>
      <c r="J344" s="193"/>
      <c r="K344" s="194"/>
      <c r="L344" s="198"/>
      <c r="M344" s="193"/>
      <c r="N344" s="193"/>
      <c r="O344" s="193"/>
      <c r="P344" s="194"/>
    </row>
    <row r="345" spans="1:16" ht="22.5">
      <c r="A345" s="191"/>
      <c r="B345" s="141"/>
      <c r="C345" s="211" t="s">
        <v>94</v>
      </c>
      <c r="D345" s="195" t="s">
        <v>1</v>
      </c>
      <c r="E345" s="182">
        <f>1.5*(E343)/50</f>
        <v>0.20519999999999999</v>
      </c>
      <c r="F345" s="197"/>
      <c r="G345" s="193"/>
      <c r="H345" s="193"/>
      <c r="I345" s="183"/>
      <c r="J345" s="193"/>
      <c r="K345" s="194"/>
      <c r="L345" s="198"/>
      <c r="M345" s="193"/>
      <c r="N345" s="193"/>
      <c r="O345" s="193"/>
      <c r="P345" s="194"/>
    </row>
    <row r="346" spans="1:16">
      <c r="A346" s="191" t="s">
        <v>140</v>
      </c>
      <c r="B346" s="390" t="s">
        <v>125</v>
      </c>
      <c r="C346" s="373" t="s">
        <v>126</v>
      </c>
      <c r="D346" s="195" t="s">
        <v>75</v>
      </c>
      <c r="E346" s="246">
        <v>146.30000000000001</v>
      </c>
      <c r="F346" s="197"/>
      <c r="G346" s="459"/>
      <c r="H346" s="193"/>
      <c r="I346" s="193"/>
      <c r="J346" s="193"/>
      <c r="K346" s="194"/>
      <c r="L346" s="198"/>
      <c r="M346" s="193"/>
      <c r="N346" s="193"/>
      <c r="O346" s="193"/>
      <c r="P346" s="194"/>
    </row>
    <row r="347" spans="1:16" ht="22.5">
      <c r="A347" s="253"/>
      <c r="B347" s="254"/>
      <c r="C347" s="255" t="s">
        <v>147</v>
      </c>
      <c r="D347" s="256" t="s">
        <v>155</v>
      </c>
      <c r="E347" s="251">
        <f>((E346)*0.2)</f>
        <v>29.260000000000005</v>
      </c>
      <c r="F347" s="257"/>
      <c r="G347" s="258"/>
      <c r="H347" s="258"/>
      <c r="I347" s="212"/>
      <c r="J347" s="258"/>
      <c r="K347" s="259"/>
      <c r="L347" s="260"/>
      <c r="M347" s="258"/>
      <c r="N347" s="258"/>
      <c r="O347" s="258"/>
      <c r="P347" s="259"/>
    </row>
    <row r="348" spans="1:16">
      <c r="A348" s="191" t="s">
        <v>141</v>
      </c>
      <c r="B348" s="390" t="s">
        <v>125</v>
      </c>
      <c r="C348" s="373" t="s">
        <v>128</v>
      </c>
      <c r="D348" s="195" t="s">
        <v>75</v>
      </c>
      <c r="E348" s="182">
        <v>6.84</v>
      </c>
      <c r="F348" s="197"/>
      <c r="G348" s="459"/>
      <c r="H348" s="193"/>
      <c r="I348" s="193"/>
      <c r="J348" s="193"/>
      <c r="K348" s="194"/>
      <c r="L348" s="198"/>
      <c r="M348" s="193"/>
      <c r="N348" s="193"/>
      <c r="O348" s="193"/>
      <c r="P348" s="194"/>
    </row>
    <row r="349" spans="1:16" ht="33.75">
      <c r="A349" s="191"/>
      <c r="B349" s="141"/>
      <c r="C349" s="248" t="s">
        <v>127</v>
      </c>
      <c r="D349" s="195" t="s">
        <v>155</v>
      </c>
      <c r="E349" s="182">
        <f>((E348)*0.2)</f>
        <v>1.3680000000000001</v>
      </c>
      <c r="F349" s="197"/>
      <c r="G349" s="193"/>
      <c r="H349" s="193"/>
      <c r="I349" s="212"/>
      <c r="J349" s="193"/>
      <c r="K349" s="194"/>
      <c r="L349" s="198"/>
      <c r="M349" s="193"/>
      <c r="N349" s="193"/>
      <c r="O349" s="193"/>
      <c r="P349" s="194"/>
    </row>
    <row r="350" spans="1:16" ht="22.5">
      <c r="A350" s="191" t="s">
        <v>174</v>
      </c>
      <c r="B350" s="141" t="s">
        <v>27</v>
      </c>
      <c r="C350" s="373" t="s">
        <v>133</v>
      </c>
      <c r="D350" s="195" t="s">
        <v>2</v>
      </c>
      <c r="E350" s="182">
        <v>9.1</v>
      </c>
      <c r="F350" s="197"/>
      <c r="G350" s="459"/>
      <c r="H350" s="193"/>
      <c r="I350" s="193"/>
      <c r="J350" s="193"/>
      <c r="K350" s="194"/>
      <c r="L350" s="198"/>
      <c r="M350" s="193"/>
      <c r="N350" s="193"/>
      <c r="O350" s="193"/>
      <c r="P350" s="194"/>
    </row>
    <row r="351" spans="1:16">
      <c r="A351" s="191"/>
      <c r="B351" s="141"/>
      <c r="C351" s="211" t="s">
        <v>134</v>
      </c>
      <c r="D351" s="195" t="s">
        <v>2</v>
      </c>
      <c r="E351" s="182">
        <f>E350*1.1</f>
        <v>10.01</v>
      </c>
      <c r="F351" s="197"/>
      <c r="G351" s="193"/>
      <c r="H351" s="193"/>
      <c r="I351" s="193"/>
      <c r="J351" s="193"/>
      <c r="K351" s="194"/>
      <c r="L351" s="198"/>
      <c r="M351" s="193"/>
      <c r="N351" s="193"/>
      <c r="O351" s="193"/>
      <c r="P351" s="194"/>
    </row>
    <row r="352" spans="1:16">
      <c r="A352" s="191"/>
      <c r="B352" s="141"/>
      <c r="C352" s="211" t="s">
        <v>79</v>
      </c>
      <c r="D352" s="195" t="s">
        <v>1</v>
      </c>
      <c r="E352" s="182">
        <f>E351/0.3</f>
        <v>33.366666666666667</v>
      </c>
      <c r="F352" s="197"/>
      <c r="G352" s="193"/>
      <c r="H352" s="193"/>
      <c r="I352" s="193"/>
      <c r="J352" s="193"/>
      <c r="K352" s="194"/>
      <c r="L352" s="198"/>
      <c r="M352" s="193"/>
      <c r="N352" s="193"/>
      <c r="O352" s="193"/>
      <c r="P352" s="194"/>
    </row>
    <row r="353" spans="1:16">
      <c r="A353" s="191"/>
      <c r="B353" s="141"/>
      <c r="C353" s="211" t="s">
        <v>135</v>
      </c>
      <c r="D353" s="195" t="s">
        <v>1</v>
      </c>
      <c r="E353" s="182">
        <f>E350*0.025</f>
        <v>0.22750000000000001</v>
      </c>
      <c r="F353" s="197"/>
      <c r="G353" s="193"/>
      <c r="H353" s="193"/>
      <c r="I353" s="193"/>
      <c r="J353" s="193"/>
      <c r="K353" s="194"/>
      <c r="L353" s="198"/>
      <c r="M353" s="193"/>
      <c r="N353" s="193"/>
      <c r="O353" s="193"/>
      <c r="P353" s="194"/>
    </row>
    <row r="354" spans="1:16">
      <c r="A354" s="261">
        <v>19</v>
      </c>
      <c r="B354" s="262" t="s">
        <v>106</v>
      </c>
      <c r="C354" s="263" t="s">
        <v>203</v>
      </c>
      <c r="D354" s="264" t="s">
        <v>75</v>
      </c>
      <c r="E354" s="182">
        <v>27.13</v>
      </c>
      <c r="F354" s="265"/>
      <c r="G354" s="459"/>
      <c r="H354" s="266"/>
      <c r="I354" s="266"/>
      <c r="J354" s="193"/>
      <c r="K354" s="267"/>
      <c r="L354" s="268"/>
      <c r="M354" s="266"/>
      <c r="N354" s="266"/>
      <c r="O354" s="266"/>
      <c r="P354" s="267"/>
    </row>
    <row r="355" spans="1:16">
      <c r="A355" s="261"/>
      <c r="B355" s="262"/>
      <c r="C355" s="269" t="s">
        <v>107</v>
      </c>
      <c r="D355" s="264" t="s">
        <v>108</v>
      </c>
      <c r="E355" s="270">
        <f>E354*1.2*1.6*0.1</f>
        <v>5.2089600000000003</v>
      </c>
      <c r="F355" s="265"/>
      <c r="G355" s="263"/>
      <c r="H355" s="263"/>
      <c r="I355" s="193"/>
      <c r="J355" s="263"/>
      <c r="K355" s="267"/>
      <c r="L355" s="268"/>
      <c r="M355" s="263"/>
      <c r="N355" s="266"/>
      <c r="O355" s="266"/>
      <c r="P355" s="267"/>
    </row>
    <row r="356" spans="1:16">
      <c r="A356" s="261"/>
      <c r="B356" s="262"/>
      <c r="C356" s="269" t="s">
        <v>109</v>
      </c>
      <c r="D356" s="264" t="s">
        <v>108</v>
      </c>
      <c r="E356" s="270">
        <f>E354*1.05*1.6*0.04</f>
        <v>1.8231360000000001</v>
      </c>
      <c r="F356" s="265"/>
      <c r="G356" s="263"/>
      <c r="H356" s="263"/>
      <c r="I356" s="193"/>
      <c r="J356" s="263"/>
      <c r="K356" s="267"/>
      <c r="L356" s="268"/>
      <c r="M356" s="263"/>
      <c r="N356" s="266"/>
      <c r="O356" s="266"/>
      <c r="P356" s="267"/>
    </row>
    <row r="357" spans="1:16">
      <c r="A357" s="271"/>
      <c r="B357" s="272"/>
      <c r="C357" s="273" t="s">
        <v>167</v>
      </c>
      <c r="D357" s="274" t="s">
        <v>2</v>
      </c>
      <c r="E357" s="275">
        <f>E354/0.6</f>
        <v>45.216666666666669</v>
      </c>
      <c r="F357" s="276"/>
      <c r="G357" s="277"/>
      <c r="H357" s="277"/>
      <c r="I357" s="278"/>
      <c r="J357" s="277"/>
      <c r="K357" s="279"/>
      <c r="L357" s="280"/>
      <c r="M357" s="277"/>
      <c r="N357" s="278"/>
      <c r="O357" s="278"/>
      <c r="P357" s="279"/>
    </row>
    <row r="358" spans="1:16">
      <c r="A358" s="281"/>
      <c r="B358" s="282"/>
      <c r="C358" s="283" t="s">
        <v>144</v>
      </c>
      <c r="D358" s="284" t="s">
        <v>100</v>
      </c>
      <c r="E358" s="285">
        <f>0.025*E357</f>
        <v>1.1304166666666668</v>
      </c>
      <c r="F358" s="286"/>
      <c r="G358" s="287"/>
      <c r="H358" s="287"/>
      <c r="I358" s="287"/>
      <c r="J358" s="287"/>
      <c r="K358" s="288"/>
      <c r="L358" s="289"/>
      <c r="M358" s="287"/>
      <c r="N358" s="287"/>
      <c r="O358" s="287"/>
      <c r="P358" s="288"/>
    </row>
    <row r="359" spans="1:16">
      <c r="A359" s="261"/>
      <c r="B359" s="262"/>
      <c r="C359" s="269" t="s">
        <v>110</v>
      </c>
      <c r="D359" s="264" t="s">
        <v>75</v>
      </c>
      <c r="E359" s="270">
        <f>1.05*E354</f>
        <v>28.486499999999999</v>
      </c>
      <c r="F359" s="265"/>
      <c r="G359" s="263"/>
      <c r="H359" s="263"/>
      <c r="I359" s="266"/>
      <c r="J359" s="263"/>
      <c r="K359" s="267"/>
      <c r="L359" s="268"/>
      <c r="M359" s="263"/>
      <c r="N359" s="266"/>
      <c r="O359" s="266"/>
      <c r="P359" s="267"/>
    </row>
    <row r="360" spans="1:16">
      <c r="A360" s="200"/>
      <c r="B360" s="141"/>
      <c r="C360" s="318" t="s">
        <v>321</v>
      </c>
      <c r="D360" s="195"/>
      <c r="E360" s="182"/>
      <c r="F360" s="197"/>
      <c r="G360" s="193"/>
      <c r="H360" s="193"/>
      <c r="I360" s="193"/>
      <c r="J360" s="193"/>
      <c r="K360" s="194"/>
      <c r="L360" s="198"/>
      <c r="M360" s="193"/>
      <c r="N360" s="193"/>
      <c r="O360" s="193"/>
      <c r="P360" s="194"/>
    </row>
    <row r="361" spans="1:16">
      <c r="A361" s="309">
        <v>1</v>
      </c>
      <c r="B361" s="310" t="s">
        <v>27</v>
      </c>
      <c r="C361" s="478" t="s">
        <v>338</v>
      </c>
      <c r="D361" s="195" t="s">
        <v>74</v>
      </c>
      <c r="E361" s="182">
        <v>19.45</v>
      </c>
      <c r="F361" s="197"/>
      <c r="G361" s="193"/>
      <c r="H361" s="193"/>
      <c r="I361" s="193"/>
      <c r="J361" s="193"/>
      <c r="K361" s="194"/>
      <c r="L361" s="198"/>
      <c r="M361" s="193"/>
      <c r="N361" s="193"/>
      <c r="O361" s="193"/>
      <c r="P361" s="194"/>
    </row>
    <row r="362" spans="1:16">
      <c r="A362" s="309"/>
      <c r="B362" s="310"/>
      <c r="C362" s="311" t="s">
        <v>339</v>
      </c>
      <c r="D362" s="195" t="s">
        <v>2</v>
      </c>
      <c r="E362" s="182">
        <f>E361*1.1</f>
        <v>21.395</v>
      </c>
      <c r="F362" s="312"/>
      <c r="G362" s="313"/>
      <c r="H362" s="313"/>
      <c r="I362" s="193"/>
      <c r="J362" s="313"/>
      <c r="K362" s="314"/>
      <c r="L362" s="315"/>
      <c r="M362" s="313"/>
      <c r="N362" s="193"/>
      <c r="O362" s="313"/>
      <c r="P362" s="314"/>
    </row>
    <row r="363" spans="1:16">
      <c r="A363" s="191"/>
      <c r="B363" s="192"/>
      <c r="C363" s="283" t="s">
        <v>164</v>
      </c>
      <c r="D363" s="284" t="s">
        <v>76</v>
      </c>
      <c r="E363" s="316">
        <f>4*E361</f>
        <v>77.8</v>
      </c>
      <c r="F363" s="286"/>
      <c r="G363" s="287"/>
      <c r="H363" s="287"/>
      <c r="I363" s="287"/>
      <c r="J363" s="287"/>
      <c r="K363" s="288"/>
      <c r="L363" s="289"/>
      <c r="M363" s="287"/>
      <c r="N363" s="287"/>
      <c r="O363" s="193"/>
      <c r="P363" s="194"/>
    </row>
    <row r="364" spans="1:16">
      <c r="A364" s="309">
        <v>2</v>
      </c>
      <c r="B364" s="310" t="s">
        <v>27</v>
      </c>
      <c r="C364" s="478" t="s">
        <v>165</v>
      </c>
      <c r="D364" s="195" t="s">
        <v>74</v>
      </c>
      <c r="E364" s="182">
        <v>5.2</v>
      </c>
      <c r="F364" s="197"/>
      <c r="G364" s="193"/>
      <c r="H364" s="193"/>
      <c r="I364" s="193"/>
      <c r="J364" s="193"/>
      <c r="K364" s="194"/>
      <c r="L364" s="198"/>
      <c r="M364" s="193"/>
      <c r="N364" s="193"/>
      <c r="O364" s="193"/>
      <c r="P364" s="194"/>
    </row>
    <row r="365" spans="1:16">
      <c r="A365" s="309"/>
      <c r="B365" s="310"/>
      <c r="C365" s="311" t="s">
        <v>166</v>
      </c>
      <c r="D365" s="195" t="s">
        <v>2</v>
      </c>
      <c r="E365" s="182">
        <f>E364*1.1</f>
        <v>5.7200000000000006</v>
      </c>
      <c r="F365" s="312"/>
      <c r="G365" s="313"/>
      <c r="H365" s="313"/>
      <c r="I365" s="193"/>
      <c r="J365" s="313"/>
      <c r="K365" s="314"/>
      <c r="L365" s="315"/>
      <c r="M365" s="313"/>
      <c r="N365" s="193"/>
      <c r="O365" s="313"/>
      <c r="P365" s="314"/>
    </row>
    <row r="366" spans="1:16">
      <c r="A366" s="191"/>
      <c r="B366" s="192"/>
      <c r="C366" s="283" t="s">
        <v>164</v>
      </c>
      <c r="D366" s="284" t="s">
        <v>76</v>
      </c>
      <c r="E366" s="316">
        <f>4*E364</f>
        <v>20.8</v>
      </c>
      <c r="F366" s="286"/>
      <c r="G366" s="287"/>
      <c r="H366" s="287"/>
      <c r="I366" s="287"/>
      <c r="J366" s="287"/>
      <c r="K366" s="288"/>
      <c r="L366" s="289"/>
      <c r="M366" s="287"/>
      <c r="N366" s="287"/>
      <c r="O366" s="193"/>
      <c r="P366" s="194"/>
    </row>
    <row r="367" spans="1:16" ht="22.5">
      <c r="A367" s="191"/>
      <c r="B367" s="206"/>
      <c r="C367" s="247" t="s">
        <v>151</v>
      </c>
      <c r="D367" s="317" t="s">
        <v>76</v>
      </c>
      <c r="E367" s="182">
        <f>E364*0.3</f>
        <v>1.56</v>
      </c>
      <c r="F367" s="187"/>
      <c r="G367" s="183"/>
      <c r="H367" s="183"/>
      <c r="I367" s="183"/>
      <c r="J367" s="183"/>
      <c r="K367" s="189"/>
      <c r="L367" s="190"/>
      <c r="M367" s="183"/>
      <c r="N367" s="183"/>
      <c r="O367" s="183"/>
      <c r="P367" s="189"/>
    </row>
    <row r="368" spans="1:16" ht="22.5">
      <c r="A368" s="200">
        <v>3</v>
      </c>
      <c r="B368" s="192" t="s">
        <v>184</v>
      </c>
      <c r="C368" s="479" t="s">
        <v>185</v>
      </c>
      <c r="D368" s="186" t="s">
        <v>74</v>
      </c>
      <c r="E368" s="303">
        <v>38.92</v>
      </c>
      <c r="F368" s="202"/>
      <c r="G368" s="203"/>
      <c r="H368" s="203"/>
      <c r="I368" s="203"/>
      <c r="J368" s="203"/>
      <c r="K368" s="204"/>
      <c r="L368" s="205"/>
      <c r="M368" s="203"/>
      <c r="N368" s="203"/>
      <c r="O368" s="203"/>
      <c r="P368" s="204"/>
    </row>
    <row r="369" spans="1:16">
      <c r="A369" s="301"/>
      <c r="B369" s="302"/>
      <c r="C369" s="196" t="s">
        <v>186</v>
      </c>
      <c r="D369" s="195" t="s">
        <v>2</v>
      </c>
      <c r="E369" s="201">
        <f>1.1*E368</f>
        <v>42.812000000000005</v>
      </c>
      <c r="F369" s="202"/>
      <c r="G369" s="305"/>
      <c r="H369" s="305"/>
      <c r="I369" s="203"/>
      <c r="J369" s="305"/>
      <c r="K369" s="306"/>
      <c r="L369" s="307"/>
      <c r="M369" s="305"/>
      <c r="N369" s="203"/>
      <c r="O369" s="305"/>
      <c r="P369" s="306"/>
    </row>
    <row r="370" spans="1:16">
      <c r="A370" s="301"/>
      <c r="B370" s="302"/>
      <c r="C370" s="196" t="s">
        <v>187</v>
      </c>
      <c r="D370" s="195" t="s">
        <v>76</v>
      </c>
      <c r="E370" s="201">
        <v>4</v>
      </c>
      <c r="F370" s="202"/>
      <c r="G370" s="305"/>
      <c r="H370" s="305"/>
      <c r="I370" s="203"/>
      <c r="J370" s="305"/>
      <c r="K370" s="306"/>
      <c r="L370" s="307"/>
      <c r="M370" s="305"/>
      <c r="N370" s="203"/>
      <c r="O370" s="305"/>
      <c r="P370" s="306"/>
    </row>
    <row r="371" spans="1:16">
      <c r="A371" s="301"/>
      <c r="B371" s="302"/>
      <c r="C371" s="196" t="s">
        <v>188</v>
      </c>
      <c r="D371" s="195" t="s">
        <v>76</v>
      </c>
      <c r="E371" s="201">
        <f>E368/0.75</f>
        <v>51.893333333333338</v>
      </c>
      <c r="F371" s="202"/>
      <c r="G371" s="305"/>
      <c r="H371" s="305"/>
      <c r="I371" s="203"/>
      <c r="J371" s="305"/>
      <c r="K371" s="306"/>
      <c r="L371" s="307"/>
      <c r="M371" s="305"/>
      <c r="N371" s="203"/>
      <c r="O371" s="305"/>
      <c r="P371" s="306"/>
    </row>
    <row r="372" spans="1:16">
      <c r="A372" s="301"/>
      <c r="B372" s="302"/>
      <c r="C372" s="196" t="s">
        <v>79</v>
      </c>
      <c r="D372" s="195" t="s">
        <v>76</v>
      </c>
      <c r="E372" s="201">
        <f>E371*2</f>
        <v>103.78666666666668</v>
      </c>
      <c r="F372" s="202"/>
      <c r="G372" s="305"/>
      <c r="H372" s="305"/>
      <c r="I372" s="203"/>
      <c r="J372" s="305"/>
      <c r="K372" s="306"/>
      <c r="L372" s="307"/>
      <c r="M372" s="305"/>
      <c r="N372" s="203"/>
      <c r="O372" s="305"/>
      <c r="P372" s="306"/>
    </row>
    <row r="373" spans="1:16">
      <c r="A373" s="301"/>
      <c r="B373" s="302"/>
      <c r="C373" s="196" t="s">
        <v>182</v>
      </c>
      <c r="D373" s="195" t="s">
        <v>76</v>
      </c>
      <c r="E373" s="201">
        <v>2</v>
      </c>
      <c r="F373" s="202"/>
      <c r="G373" s="305"/>
      <c r="H373" s="305"/>
      <c r="I373" s="203"/>
      <c r="J373" s="305"/>
      <c r="K373" s="306"/>
      <c r="L373" s="307"/>
      <c r="M373" s="305"/>
      <c r="N373" s="203"/>
      <c r="O373" s="305"/>
      <c r="P373" s="306"/>
    </row>
    <row r="374" spans="1:16" ht="24" customHeight="1">
      <c r="A374" s="200">
        <v>4</v>
      </c>
      <c r="B374" s="192" t="s">
        <v>189</v>
      </c>
      <c r="C374" s="480" t="s">
        <v>190</v>
      </c>
      <c r="D374" s="186" t="s">
        <v>74</v>
      </c>
      <c r="E374" s="303">
        <v>12.8</v>
      </c>
      <c r="F374" s="481"/>
      <c r="G374" s="203"/>
      <c r="H374" s="203"/>
      <c r="I374" s="203"/>
      <c r="J374" s="203"/>
      <c r="K374" s="204"/>
      <c r="L374" s="205"/>
      <c r="M374" s="203"/>
      <c r="N374" s="203"/>
      <c r="O374" s="203"/>
      <c r="P374" s="204"/>
    </row>
    <row r="375" spans="1:16" ht="12">
      <c r="A375" s="191"/>
      <c r="B375" s="192"/>
      <c r="C375" s="308" t="s">
        <v>191</v>
      </c>
      <c r="D375" s="186" t="s">
        <v>74</v>
      </c>
      <c r="E375" s="303">
        <f>(E374)*1.1</f>
        <v>14.080000000000002</v>
      </c>
      <c r="F375" s="304"/>
      <c r="G375" s="203"/>
      <c r="H375" s="203"/>
      <c r="I375" s="203"/>
      <c r="J375" s="203"/>
      <c r="K375" s="204"/>
      <c r="L375" s="205"/>
      <c r="M375" s="203"/>
      <c r="N375" s="203"/>
      <c r="O375" s="203"/>
      <c r="P375" s="204"/>
    </row>
    <row r="376" spans="1:16" ht="12">
      <c r="A376" s="191"/>
      <c r="B376" s="192"/>
      <c r="C376" s="308" t="s">
        <v>192</v>
      </c>
      <c r="D376" s="186" t="s">
        <v>76</v>
      </c>
      <c r="E376" s="303">
        <v>4</v>
      </c>
      <c r="F376" s="304"/>
      <c r="G376" s="203"/>
      <c r="H376" s="203"/>
      <c r="I376" s="203"/>
      <c r="J376" s="203"/>
      <c r="K376" s="204"/>
      <c r="L376" s="205"/>
      <c r="M376" s="203"/>
      <c r="N376" s="203"/>
      <c r="O376" s="203"/>
      <c r="P376" s="204"/>
    </row>
    <row r="377" spans="1:16" ht="12">
      <c r="A377" s="191"/>
      <c r="B377" s="192"/>
      <c r="C377" s="308" t="s">
        <v>193</v>
      </c>
      <c r="D377" s="186" t="s">
        <v>76</v>
      </c>
      <c r="E377" s="303">
        <f>E376</f>
        <v>4</v>
      </c>
      <c r="F377" s="304"/>
      <c r="G377" s="203"/>
      <c r="H377" s="203"/>
      <c r="I377" s="203"/>
      <c r="J377" s="203"/>
      <c r="K377" s="204"/>
      <c r="L377" s="205"/>
      <c r="M377" s="203"/>
      <c r="N377" s="203"/>
      <c r="O377" s="203"/>
      <c r="P377" s="204"/>
    </row>
    <row r="378" spans="1:16" ht="12">
      <c r="A378" s="191"/>
      <c r="B378" s="192"/>
      <c r="C378" s="308" t="s">
        <v>194</v>
      </c>
      <c r="D378" s="186" t="s">
        <v>76</v>
      </c>
      <c r="E378" s="303">
        <f>E376</f>
        <v>4</v>
      </c>
      <c r="F378" s="304"/>
      <c r="G378" s="203"/>
      <c r="H378" s="203"/>
      <c r="I378" s="203"/>
      <c r="J378" s="203"/>
      <c r="K378" s="204"/>
      <c r="L378" s="205"/>
      <c r="M378" s="203"/>
      <c r="N378" s="203"/>
      <c r="O378" s="203"/>
      <c r="P378" s="204"/>
    </row>
    <row r="379" spans="1:16" ht="12">
      <c r="A379" s="191"/>
      <c r="B379" s="192"/>
      <c r="C379" s="308" t="s">
        <v>195</v>
      </c>
      <c r="D379" s="186" t="s">
        <v>76</v>
      </c>
      <c r="E379" s="303">
        <f>E374</f>
        <v>12.8</v>
      </c>
      <c r="F379" s="304"/>
      <c r="G379" s="203"/>
      <c r="H379" s="203"/>
      <c r="I379" s="203"/>
      <c r="J379" s="203"/>
      <c r="K379" s="204"/>
      <c r="L379" s="205"/>
      <c r="M379" s="203"/>
      <c r="N379" s="203"/>
      <c r="O379" s="203"/>
      <c r="P379" s="204"/>
    </row>
    <row r="380" spans="1:16">
      <c r="A380" s="191"/>
      <c r="B380" s="192"/>
      <c r="C380" s="196" t="s">
        <v>182</v>
      </c>
      <c r="D380" s="195" t="s">
        <v>76</v>
      </c>
      <c r="E380" s="201">
        <v>2</v>
      </c>
      <c r="F380" s="202"/>
      <c r="G380" s="203"/>
      <c r="H380" s="203"/>
      <c r="I380" s="203"/>
      <c r="J380" s="203"/>
      <c r="K380" s="204"/>
      <c r="L380" s="205"/>
      <c r="M380" s="203"/>
      <c r="N380" s="203"/>
      <c r="O380" s="203"/>
      <c r="P380" s="204"/>
    </row>
    <row r="381" spans="1:16">
      <c r="A381" s="322" t="s">
        <v>10</v>
      </c>
      <c r="B381" s="323" t="s">
        <v>340</v>
      </c>
      <c r="C381" s="482" t="s">
        <v>341</v>
      </c>
      <c r="D381" s="325" t="s">
        <v>74</v>
      </c>
      <c r="E381" s="326">
        <v>19.45</v>
      </c>
      <c r="F381" s="481"/>
      <c r="G381" s="203"/>
      <c r="H381" s="203"/>
      <c r="I381" s="328"/>
      <c r="J381" s="203"/>
      <c r="K381" s="204"/>
      <c r="L381" s="205"/>
      <c r="M381" s="203"/>
      <c r="N381" s="203"/>
      <c r="O381" s="203"/>
      <c r="P381" s="204"/>
    </row>
    <row r="382" spans="1:16">
      <c r="A382" s="322"/>
      <c r="B382" s="323"/>
      <c r="C382" s="324" t="s">
        <v>342</v>
      </c>
      <c r="D382" s="325" t="s">
        <v>2</v>
      </c>
      <c r="E382" s="201">
        <f>1.1*E381</f>
        <v>21.395</v>
      </c>
      <c r="F382" s="327"/>
      <c r="G382" s="328"/>
      <c r="H382" s="328"/>
      <c r="I382" s="328"/>
      <c r="J382" s="328"/>
      <c r="K382" s="329"/>
      <c r="L382" s="205"/>
      <c r="M382" s="203"/>
      <c r="N382" s="203"/>
      <c r="O382" s="203"/>
      <c r="P382" s="204"/>
    </row>
    <row r="383" spans="1:16">
      <c r="A383" s="322"/>
      <c r="B383" s="323"/>
      <c r="C383" s="324" t="s">
        <v>79</v>
      </c>
      <c r="D383" s="325" t="s">
        <v>76</v>
      </c>
      <c r="E383" s="326">
        <v>288.89999999999998</v>
      </c>
      <c r="F383" s="327"/>
      <c r="G383" s="328"/>
      <c r="H383" s="328"/>
      <c r="I383" s="328"/>
      <c r="J383" s="328"/>
      <c r="K383" s="329"/>
      <c r="L383" s="205"/>
      <c r="M383" s="203"/>
      <c r="N383" s="203"/>
      <c r="O383" s="203"/>
      <c r="P383" s="204"/>
    </row>
    <row r="384" spans="1:16">
      <c r="A384" s="322"/>
      <c r="B384" s="323"/>
      <c r="C384" s="324" t="s">
        <v>182</v>
      </c>
      <c r="D384" s="325" t="s">
        <v>76</v>
      </c>
      <c r="E384" s="326">
        <v>2</v>
      </c>
      <c r="F384" s="327"/>
      <c r="G384" s="328"/>
      <c r="H384" s="328"/>
      <c r="I384" s="328"/>
      <c r="J384" s="328"/>
      <c r="K384" s="329"/>
      <c r="L384" s="205"/>
      <c r="M384" s="203"/>
      <c r="N384" s="203"/>
      <c r="O384" s="203"/>
      <c r="P384" s="204"/>
    </row>
    <row r="385" spans="1:16" ht="22.5">
      <c r="A385" s="322" t="s">
        <v>11</v>
      </c>
      <c r="B385" s="323"/>
      <c r="C385" s="629" t="s">
        <v>493</v>
      </c>
      <c r="D385" s="325" t="s">
        <v>76</v>
      </c>
      <c r="E385" s="326">
        <v>2</v>
      </c>
      <c r="F385" s="327"/>
      <c r="G385" s="328"/>
      <c r="H385" s="328"/>
      <c r="I385" s="328"/>
      <c r="J385" s="328"/>
      <c r="K385" s="329"/>
      <c r="L385" s="330"/>
      <c r="M385" s="328"/>
      <c r="N385" s="328"/>
      <c r="O385" s="328"/>
      <c r="P385" s="329"/>
    </row>
    <row r="386" spans="1:16">
      <c r="A386" s="322"/>
      <c r="B386" s="323"/>
      <c r="C386" s="335" t="s">
        <v>361</v>
      </c>
      <c r="D386" s="325"/>
      <c r="E386" s="326"/>
      <c r="F386" s="327"/>
      <c r="G386" s="328"/>
      <c r="H386" s="328"/>
      <c r="I386" s="328"/>
      <c r="J386" s="328"/>
      <c r="K386" s="329"/>
      <c r="L386" s="330"/>
      <c r="M386" s="328"/>
      <c r="N386" s="328"/>
      <c r="O386" s="328"/>
      <c r="P386" s="329"/>
    </row>
    <row r="387" spans="1:16" ht="24" customHeight="1">
      <c r="A387" s="191" t="s">
        <v>6</v>
      </c>
      <c r="B387" s="141" t="s">
        <v>27</v>
      </c>
      <c r="C387" s="483" t="s">
        <v>404</v>
      </c>
      <c r="D387" s="195" t="s">
        <v>76</v>
      </c>
      <c r="E387" s="182">
        <v>3</v>
      </c>
      <c r="F387" s="197"/>
      <c r="G387" s="459"/>
      <c r="H387" s="193"/>
      <c r="I387" s="193"/>
      <c r="J387" s="193"/>
      <c r="K387" s="194"/>
      <c r="L387" s="198"/>
      <c r="M387" s="193"/>
      <c r="N387" s="193"/>
      <c r="O387" s="193"/>
      <c r="P387" s="194"/>
    </row>
    <row r="388" spans="1:16" ht="67.5">
      <c r="A388" s="191"/>
      <c r="B388" s="141"/>
      <c r="C388" s="339" t="s">
        <v>405</v>
      </c>
      <c r="D388" s="195" t="s">
        <v>0</v>
      </c>
      <c r="E388" s="393">
        <f>E387</f>
        <v>3</v>
      </c>
      <c r="F388" s="257"/>
      <c r="G388" s="258"/>
      <c r="H388" s="258"/>
      <c r="I388" s="212"/>
      <c r="J388" s="258"/>
      <c r="K388" s="259"/>
      <c r="L388" s="260"/>
      <c r="M388" s="258"/>
      <c r="N388" s="258"/>
      <c r="O388" s="258"/>
      <c r="P388" s="259"/>
    </row>
    <row r="389" spans="1:16">
      <c r="A389" s="322"/>
      <c r="B389" s="323"/>
      <c r="C389" s="335" t="s">
        <v>349</v>
      </c>
      <c r="D389" s="325"/>
      <c r="E389" s="326"/>
      <c r="F389" s="327"/>
      <c r="G389" s="328"/>
      <c r="H389" s="328"/>
      <c r="I389" s="328"/>
      <c r="J389" s="328"/>
      <c r="K389" s="329"/>
      <c r="L389" s="330"/>
      <c r="M389" s="328"/>
      <c r="N389" s="328"/>
      <c r="O389" s="328"/>
      <c r="P389" s="329"/>
    </row>
    <row r="390" spans="1:16" ht="33.75">
      <c r="A390" s="191" t="s">
        <v>6</v>
      </c>
      <c r="B390" s="141" t="s">
        <v>351</v>
      </c>
      <c r="C390" s="483" t="s">
        <v>403</v>
      </c>
      <c r="D390" s="195" t="s">
        <v>350</v>
      </c>
      <c r="E390" s="182">
        <v>16</v>
      </c>
      <c r="F390" s="197"/>
      <c r="G390" s="459"/>
      <c r="H390" s="193"/>
      <c r="I390" s="193"/>
      <c r="J390" s="193"/>
      <c r="K390" s="194"/>
      <c r="L390" s="198"/>
      <c r="M390" s="193"/>
      <c r="N390" s="193"/>
      <c r="O390" s="193"/>
      <c r="P390" s="194"/>
    </row>
    <row r="391" spans="1:16">
      <c r="A391" s="191"/>
      <c r="B391" s="141"/>
      <c r="C391" s="339" t="s">
        <v>198</v>
      </c>
      <c r="D391" s="195" t="s">
        <v>350</v>
      </c>
      <c r="E391" s="393">
        <f>E390</f>
        <v>16</v>
      </c>
      <c r="F391" s="257"/>
      <c r="G391" s="258"/>
      <c r="H391" s="258"/>
      <c r="I391" s="212"/>
      <c r="J391" s="258"/>
      <c r="K391" s="259"/>
      <c r="L391" s="260"/>
      <c r="M391" s="258"/>
      <c r="N391" s="258"/>
      <c r="O391" s="258"/>
      <c r="P391" s="259"/>
    </row>
    <row r="392" spans="1:16" ht="12" thickBot="1">
      <c r="A392" s="290"/>
      <c r="B392" s="291"/>
      <c r="C392" s="292"/>
      <c r="D392" s="293"/>
      <c r="E392" s="294"/>
      <c r="F392" s="295"/>
      <c r="G392" s="296"/>
      <c r="H392" s="296"/>
      <c r="I392" s="297"/>
      <c r="J392" s="296"/>
      <c r="K392" s="298"/>
      <c r="L392" s="299"/>
      <c r="M392" s="296"/>
      <c r="N392" s="297"/>
      <c r="O392" s="297"/>
      <c r="P392" s="298"/>
    </row>
    <row r="393" spans="1:16" ht="12" thickBot="1">
      <c r="A393" s="587" t="s">
        <v>5</v>
      </c>
      <c r="B393" s="588"/>
      <c r="C393" s="588"/>
      <c r="D393" s="588"/>
      <c r="E393" s="588"/>
      <c r="F393" s="588"/>
      <c r="G393" s="588"/>
      <c r="H393" s="588"/>
      <c r="I393" s="588"/>
      <c r="J393" s="588"/>
      <c r="K393" s="589"/>
      <c r="L393" s="233">
        <f>SUM(L18:L392)</f>
        <v>0</v>
      </c>
      <c r="M393" s="234">
        <f>SUM(M18:M392)</f>
        <v>0</v>
      </c>
      <c r="N393" s="234">
        <f>SUM(N18:N392)/2</f>
        <v>0</v>
      </c>
      <c r="O393" s="234">
        <f>SUM(O18:O392)</f>
        <v>0</v>
      </c>
      <c r="P393" s="300">
        <f>SUM(P18:P392)</f>
        <v>0</v>
      </c>
    </row>
    <row r="394" spans="1:16" ht="12" thickBot="1">
      <c r="A394" s="590" t="s">
        <v>427</v>
      </c>
      <c r="B394" s="591"/>
      <c r="C394" s="591"/>
      <c r="D394" s="591"/>
      <c r="E394" s="591"/>
      <c r="F394" s="591"/>
      <c r="G394" s="591"/>
      <c r="H394" s="591"/>
      <c r="I394" s="591"/>
      <c r="J394" s="591"/>
      <c r="K394" s="592"/>
      <c r="L394" s="237"/>
      <c r="M394" s="238"/>
      <c r="N394" s="238"/>
      <c r="O394" s="238"/>
      <c r="P394" s="239"/>
    </row>
    <row r="395" spans="1:16" ht="12" thickBot="1">
      <c r="A395" s="584" t="s">
        <v>5</v>
      </c>
      <c r="B395" s="585"/>
      <c r="C395" s="585"/>
      <c r="D395" s="585"/>
      <c r="E395" s="585"/>
      <c r="F395" s="585"/>
      <c r="G395" s="585"/>
      <c r="H395" s="585"/>
      <c r="I395" s="585"/>
      <c r="J395" s="585"/>
      <c r="K395" s="586"/>
      <c r="L395" s="240">
        <f>SUM(L393:L394)</f>
        <v>0</v>
      </c>
      <c r="M395" s="241">
        <f>SUM(M393:M394)</f>
        <v>0</v>
      </c>
      <c r="N395" s="241">
        <f>SUM(N393:N394)</f>
        <v>0</v>
      </c>
      <c r="O395" s="241">
        <f>SUM(O393:O394)</f>
        <v>0</v>
      </c>
      <c r="P395" s="242">
        <f>SUM(P393:P394)</f>
        <v>0</v>
      </c>
    </row>
    <row r="397" spans="1:16">
      <c r="A397" s="243" t="s">
        <v>172</v>
      </c>
    </row>
    <row r="398" spans="1:16">
      <c r="B398" s="244" t="s">
        <v>173</v>
      </c>
    </row>
    <row r="400" spans="1:16">
      <c r="A400" s="245" t="s">
        <v>422</v>
      </c>
      <c r="B400" s="30"/>
      <c r="H400" s="245" t="s">
        <v>423</v>
      </c>
    </row>
    <row r="401" spans="6:6">
      <c r="F401" s="331"/>
    </row>
  </sheetData>
  <mergeCells count="16">
    <mergeCell ref="A395:K395"/>
    <mergeCell ref="A393:K393"/>
    <mergeCell ref="A394:K394"/>
    <mergeCell ref="A16:A17"/>
    <mergeCell ref="B16:B17"/>
    <mergeCell ref="A1:P1"/>
    <mergeCell ref="A2:P3"/>
    <mergeCell ref="A5:P5"/>
    <mergeCell ref="A6:P6"/>
    <mergeCell ref="C16:C17"/>
    <mergeCell ref="D16:D17"/>
    <mergeCell ref="L12:N12"/>
    <mergeCell ref="E16:E17"/>
    <mergeCell ref="F16:K16"/>
    <mergeCell ref="L16:P16"/>
    <mergeCell ref="O12:P12"/>
  </mergeCells>
  <phoneticPr fontId="1" type="noConversion"/>
  <printOptions horizontalCentered="1"/>
  <pageMargins left="0.19685039370078741" right="0.19685039370078741" top="0.78740157480314965" bottom="0.39370078740157483" header="0.51181102362204722" footer="0.19685039370078741"/>
  <pageSetup paperSize="9" orientation="landscape" r:id="rId1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Zeros="0" topLeftCell="A16" zoomScale="92" workbookViewId="0">
      <selection activeCell="M67" sqref="M67"/>
    </sheetView>
  </sheetViews>
  <sheetFormatPr defaultRowHeight="11.25"/>
  <cols>
    <col min="1" max="1" width="3" style="98" customWidth="1"/>
    <col min="2" max="2" width="9" style="121" customWidth="1"/>
    <col min="3" max="3" width="28.7109375" style="98" customWidth="1"/>
    <col min="4" max="4" width="6.140625" style="98" bestFit="1" customWidth="1"/>
    <col min="5" max="5" width="9.5703125" style="98" bestFit="1" customWidth="1"/>
    <col min="6" max="6" width="6" style="98" customWidth="1"/>
    <col min="7" max="7" width="8" style="98" customWidth="1"/>
    <col min="8" max="8" width="6.7109375" style="98" bestFit="1" customWidth="1"/>
    <col min="9" max="9" width="7.7109375" style="98" bestFit="1" customWidth="1"/>
    <col min="10" max="10" width="6.7109375" style="98" bestFit="1" customWidth="1"/>
    <col min="11" max="11" width="8.140625" style="98" bestFit="1" customWidth="1"/>
    <col min="12" max="12" width="8.28515625" style="98" customWidth="1"/>
    <col min="13" max="13" width="9.85546875" style="98" customWidth="1"/>
    <col min="14" max="14" width="9.7109375" style="98" bestFit="1" customWidth="1"/>
    <col min="15" max="15" width="8.7109375" style="98" bestFit="1" customWidth="1"/>
    <col min="16" max="16" width="10.140625" style="98" customWidth="1"/>
    <col min="17" max="16384" width="9.140625" style="98"/>
  </cols>
  <sheetData>
    <row r="1" spans="1:16" ht="18">
      <c r="A1" s="564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3.5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3.5" customHeight="1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</row>
    <row r="5" spans="1:16" ht="14.25">
      <c r="A5" s="567" t="s">
        <v>397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</row>
    <row r="6" spans="1:16" ht="14.25">
      <c r="A6" s="567" t="str">
        <f>'O1'!B23</f>
        <v>Santehniskie darbi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</row>
    <row r="7" spans="1:16" ht="14.25">
      <c r="A7" s="123"/>
      <c r="B7" s="10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14.25">
      <c r="A8" s="104" t="s">
        <v>143</v>
      </c>
      <c r="B8" s="105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14.25">
      <c r="A9" s="108" t="s">
        <v>142</v>
      </c>
      <c r="B9" s="105"/>
      <c r="C9" s="109"/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4.25">
      <c r="A10" s="108" t="str">
        <f>'O1'!A8</f>
        <v>Objekta adrese: Liepājas iela 58a, Kuldīga, Kuldīgas novads</v>
      </c>
      <c r="B10" s="105"/>
      <c r="C10" s="109"/>
      <c r="D10" s="110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>
      <c r="A11" s="111"/>
      <c r="B11" s="112"/>
      <c r="C11" s="109"/>
      <c r="D11" s="110"/>
      <c r="E11" s="107"/>
      <c r="F11" s="113"/>
      <c r="G11" s="107"/>
      <c r="H11" s="107"/>
      <c r="I11" s="107"/>
      <c r="J11" s="107"/>
      <c r="K11" s="107"/>
      <c r="L11" s="113"/>
      <c r="M11" s="107"/>
      <c r="N11" s="114"/>
      <c r="O11" s="114"/>
      <c r="P11" s="107"/>
    </row>
    <row r="12" spans="1:16" ht="14.25">
      <c r="A12" s="108" t="s">
        <v>12</v>
      </c>
      <c r="B12" s="112"/>
      <c r="C12" s="109"/>
      <c r="D12" s="110"/>
      <c r="E12" s="107"/>
      <c r="F12" s="113"/>
      <c r="G12" s="107"/>
      <c r="H12" s="107"/>
      <c r="I12" s="107"/>
      <c r="J12" s="107"/>
      <c r="K12" s="107"/>
      <c r="L12" s="568" t="s">
        <v>13</v>
      </c>
      <c r="M12" s="568"/>
      <c r="N12" s="568"/>
      <c r="O12" s="561">
        <f>P58</f>
        <v>0</v>
      </c>
      <c r="P12" s="561"/>
    </row>
    <row r="13" spans="1:16" ht="14.25">
      <c r="A13" s="108" t="s">
        <v>168</v>
      </c>
      <c r="B13" s="112"/>
      <c r="C13" s="109"/>
      <c r="D13" s="110"/>
      <c r="E13" s="107"/>
      <c r="F13" s="113"/>
      <c r="G13" s="107"/>
      <c r="H13" s="107"/>
      <c r="I13" s="107"/>
      <c r="J13" s="107"/>
      <c r="K13" s="107"/>
      <c r="L13" s="104" t="str">
        <f>'O1'!B16</f>
        <v>Tāme sastādīta: 2013. gada 18. martā</v>
      </c>
      <c r="M13" s="107"/>
      <c r="N13" s="114"/>
      <c r="O13" s="114"/>
      <c r="P13" s="107"/>
    </row>
    <row r="14" spans="1:16">
      <c r="A14" s="111"/>
      <c r="B14" s="112"/>
      <c r="C14" s="109"/>
      <c r="D14" s="110"/>
      <c r="E14" s="107"/>
      <c r="F14" s="113"/>
      <c r="G14" s="107"/>
      <c r="H14" s="107"/>
      <c r="I14" s="107"/>
      <c r="J14" s="107"/>
      <c r="K14" s="107"/>
      <c r="L14" s="113"/>
      <c r="M14" s="107"/>
      <c r="N14" s="114"/>
      <c r="O14" s="107"/>
      <c r="P14" s="107"/>
    </row>
    <row r="15" spans="1:16" ht="12" thickBot="1">
      <c r="A15" s="115"/>
      <c r="B15" s="112"/>
      <c r="C15" s="106"/>
      <c r="D15" s="107"/>
      <c r="E15" s="107"/>
      <c r="F15" s="107"/>
      <c r="G15" s="107"/>
      <c r="H15" s="107"/>
      <c r="I15" s="107"/>
      <c r="J15" s="107"/>
      <c r="K15" s="107"/>
      <c r="L15" s="113"/>
      <c r="M15" s="107"/>
      <c r="N15" s="107"/>
      <c r="O15" s="107"/>
      <c r="P15" s="107"/>
    </row>
    <row r="16" spans="1:16">
      <c r="A16" s="551" t="s">
        <v>14</v>
      </c>
      <c r="B16" s="553" t="s">
        <v>15</v>
      </c>
      <c r="C16" s="562" t="s">
        <v>16</v>
      </c>
      <c r="D16" s="569" t="s">
        <v>3</v>
      </c>
      <c r="E16" s="555" t="s">
        <v>4</v>
      </c>
      <c r="F16" s="557" t="s">
        <v>17</v>
      </c>
      <c r="G16" s="558"/>
      <c r="H16" s="558"/>
      <c r="I16" s="558"/>
      <c r="J16" s="558"/>
      <c r="K16" s="559"/>
      <c r="L16" s="560" t="s">
        <v>18</v>
      </c>
      <c r="M16" s="558"/>
      <c r="N16" s="558"/>
      <c r="O16" s="558"/>
      <c r="P16" s="559"/>
    </row>
    <row r="17" spans="1:16" ht="77.25" customHeight="1">
      <c r="A17" s="552"/>
      <c r="B17" s="554"/>
      <c r="C17" s="563"/>
      <c r="D17" s="570"/>
      <c r="E17" s="556"/>
      <c r="F17" s="124" t="s">
        <v>19</v>
      </c>
      <c r="G17" s="116" t="s">
        <v>20</v>
      </c>
      <c r="H17" s="116" t="s">
        <v>21</v>
      </c>
      <c r="I17" s="116" t="s">
        <v>22</v>
      </c>
      <c r="J17" s="116" t="s">
        <v>23</v>
      </c>
      <c r="K17" s="117" t="s">
        <v>24</v>
      </c>
      <c r="L17" s="118" t="s">
        <v>25</v>
      </c>
      <c r="M17" s="116" t="s">
        <v>21</v>
      </c>
      <c r="N17" s="116" t="s">
        <v>22</v>
      </c>
      <c r="O17" s="116" t="s">
        <v>23</v>
      </c>
      <c r="P17" s="117" t="s">
        <v>26</v>
      </c>
    </row>
    <row r="18" spans="1:16">
      <c r="A18" s="142"/>
      <c r="B18" s="137"/>
      <c r="C18" s="135" t="s">
        <v>371</v>
      </c>
      <c r="D18" s="139"/>
      <c r="E18" s="144"/>
      <c r="F18" s="146"/>
      <c r="G18" s="140"/>
      <c r="H18" s="140"/>
      <c r="I18" s="140"/>
      <c r="J18" s="140"/>
      <c r="K18" s="143"/>
      <c r="L18" s="145"/>
      <c r="M18" s="136"/>
      <c r="N18" s="136"/>
      <c r="O18" s="136"/>
      <c r="P18" s="143"/>
    </row>
    <row r="19" spans="1:16" ht="22.5">
      <c r="A19" s="142">
        <v>1</v>
      </c>
      <c r="B19" s="137" t="s">
        <v>152</v>
      </c>
      <c r="C19" s="138" t="s">
        <v>362</v>
      </c>
      <c r="D19" s="139" t="s">
        <v>74</v>
      </c>
      <c r="E19" s="344">
        <v>4</v>
      </c>
      <c r="F19" s="146"/>
      <c r="G19" s="140"/>
      <c r="H19" s="140"/>
      <c r="I19" s="140"/>
      <c r="J19" s="140"/>
      <c r="K19" s="345"/>
      <c r="L19" s="346"/>
      <c r="M19" s="347"/>
      <c r="N19" s="347"/>
      <c r="O19" s="347"/>
      <c r="P19" s="345"/>
    </row>
    <row r="20" spans="1:16" ht="22.5">
      <c r="A20" s="142">
        <v>2</v>
      </c>
      <c r="B20" s="137" t="s">
        <v>152</v>
      </c>
      <c r="C20" s="138" t="s">
        <v>363</v>
      </c>
      <c r="D20" s="139" t="s">
        <v>74</v>
      </c>
      <c r="E20" s="344">
        <v>6</v>
      </c>
      <c r="F20" s="146"/>
      <c r="G20" s="140"/>
      <c r="H20" s="140"/>
      <c r="I20" s="140"/>
      <c r="J20" s="140"/>
      <c r="K20" s="345"/>
      <c r="L20" s="346"/>
      <c r="M20" s="347"/>
      <c r="N20" s="347"/>
      <c r="O20" s="347"/>
      <c r="P20" s="345"/>
    </row>
    <row r="21" spans="1:16">
      <c r="A21" s="142">
        <v>3</v>
      </c>
      <c r="B21" s="137" t="s">
        <v>152</v>
      </c>
      <c r="C21" s="138" t="s">
        <v>364</v>
      </c>
      <c r="D21" s="139" t="s">
        <v>76</v>
      </c>
      <c r="E21" s="344">
        <v>1</v>
      </c>
      <c r="F21" s="146"/>
      <c r="G21" s="140"/>
      <c r="H21" s="140"/>
      <c r="I21" s="140"/>
      <c r="J21" s="140"/>
      <c r="K21" s="345"/>
      <c r="L21" s="346"/>
      <c r="M21" s="347"/>
      <c r="N21" s="347"/>
      <c r="O21" s="347"/>
      <c r="P21" s="345"/>
    </row>
    <row r="22" spans="1:16" ht="22.5">
      <c r="A22" s="142">
        <v>4</v>
      </c>
      <c r="B22" s="137" t="s">
        <v>152</v>
      </c>
      <c r="C22" s="138" t="s">
        <v>365</v>
      </c>
      <c r="D22" s="139" t="s">
        <v>370</v>
      </c>
      <c r="E22" s="344">
        <v>1</v>
      </c>
      <c r="F22" s="146"/>
      <c r="G22" s="140"/>
      <c r="H22" s="140"/>
      <c r="I22" s="140"/>
      <c r="J22" s="140"/>
      <c r="K22" s="345"/>
      <c r="L22" s="346"/>
      <c r="M22" s="347"/>
      <c r="N22" s="347"/>
      <c r="O22" s="347"/>
      <c r="P22" s="345"/>
    </row>
    <row r="23" spans="1:16" ht="22.5">
      <c r="A23" s="142">
        <v>5</v>
      </c>
      <c r="B23" s="137" t="s">
        <v>152</v>
      </c>
      <c r="C23" s="138" t="s">
        <v>366</v>
      </c>
      <c r="D23" s="139" t="s">
        <v>74</v>
      </c>
      <c r="E23" s="344">
        <v>60</v>
      </c>
      <c r="F23" s="146"/>
      <c r="G23" s="140"/>
      <c r="H23" s="140"/>
      <c r="I23" s="140"/>
      <c r="J23" s="140"/>
      <c r="K23" s="345"/>
      <c r="L23" s="346"/>
      <c r="M23" s="347"/>
      <c r="N23" s="347"/>
      <c r="O23" s="347"/>
      <c r="P23" s="345"/>
    </row>
    <row r="24" spans="1:16" ht="22.5">
      <c r="A24" s="142">
        <v>6</v>
      </c>
      <c r="B24" s="137" t="s">
        <v>152</v>
      </c>
      <c r="C24" s="138" t="s">
        <v>367</v>
      </c>
      <c r="D24" s="139" t="s">
        <v>74</v>
      </c>
      <c r="E24" s="344">
        <v>30</v>
      </c>
      <c r="F24" s="146"/>
      <c r="G24" s="140"/>
      <c r="H24" s="140"/>
      <c r="I24" s="140"/>
      <c r="J24" s="140"/>
      <c r="K24" s="345"/>
      <c r="L24" s="346"/>
      <c r="M24" s="347"/>
      <c r="N24" s="347"/>
      <c r="O24" s="347"/>
      <c r="P24" s="345"/>
    </row>
    <row r="25" spans="1:16">
      <c r="A25" s="142">
        <v>7</v>
      </c>
      <c r="B25" s="137" t="s">
        <v>152</v>
      </c>
      <c r="C25" s="138" t="s">
        <v>368</v>
      </c>
      <c r="D25" s="139" t="s">
        <v>370</v>
      </c>
      <c r="E25" s="344">
        <v>1</v>
      </c>
      <c r="F25" s="146"/>
      <c r="G25" s="140"/>
      <c r="H25" s="140"/>
      <c r="I25" s="140"/>
      <c r="J25" s="140"/>
      <c r="K25" s="345"/>
      <c r="L25" s="346"/>
      <c r="M25" s="347"/>
      <c r="N25" s="347"/>
      <c r="O25" s="347"/>
      <c r="P25" s="345"/>
    </row>
    <row r="26" spans="1:16">
      <c r="A26" s="142">
        <v>8</v>
      </c>
      <c r="B26" s="137" t="s">
        <v>152</v>
      </c>
      <c r="C26" s="138" t="s">
        <v>369</v>
      </c>
      <c r="D26" s="139" t="s">
        <v>370</v>
      </c>
      <c r="E26" s="344">
        <v>1</v>
      </c>
      <c r="F26" s="146"/>
      <c r="G26" s="140"/>
      <c r="H26" s="140"/>
      <c r="I26" s="140"/>
      <c r="J26" s="140"/>
      <c r="K26" s="345"/>
      <c r="L26" s="346"/>
      <c r="M26" s="347"/>
      <c r="N26" s="347"/>
      <c r="O26" s="347"/>
      <c r="P26" s="345"/>
    </row>
    <row r="27" spans="1:16">
      <c r="A27" s="142"/>
      <c r="B27" s="137"/>
      <c r="C27" s="135" t="s">
        <v>380</v>
      </c>
      <c r="D27" s="139"/>
      <c r="E27" s="344"/>
      <c r="F27" s="146"/>
      <c r="G27" s="140"/>
      <c r="H27" s="140"/>
      <c r="I27" s="140"/>
      <c r="J27" s="140"/>
      <c r="K27" s="345"/>
      <c r="L27" s="346"/>
      <c r="M27" s="347"/>
      <c r="N27" s="347"/>
      <c r="O27" s="347"/>
      <c r="P27" s="345"/>
    </row>
    <row r="28" spans="1:16">
      <c r="A28" s="142">
        <v>1</v>
      </c>
      <c r="B28" s="137" t="s">
        <v>152</v>
      </c>
      <c r="C28" s="138" t="s">
        <v>372</v>
      </c>
      <c r="D28" s="139" t="s">
        <v>74</v>
      </c>
      <c r="E28" s="344">
        <v>40</v>
      </c>
      <c r="F28" s="146"/>
      <c r="G28" s="140"/>
      <c r="H28" s="140"/>
      <c r="I28" s="140"/>
      <c r="J28" s="140"/>
      <c r="K28" s="345"/>
      <c r="L28" s="346"/>
      <c r="M28" s="347"/>
      <c r="N28" s="347"/>
      <c r="O28" s="347"/>
      <c r="P28" s="345"/>
    </row>
    <row r="29" spans="1:16">
      <c r="A29" s="142">
        <v>2</v>
      </c>
      <c r="B29" s="137" t="s">
        <v>152</v>
      </c>
      <c r="C29" s="138" t="s">
        <v>373</v>
      </c>
      <c r="D29" s="139" t="s">
        <v>74</v>
      </c>
      <c r="E29" s="344">
        <v>15</v>
      </c>
      <c r="F29" s="146"/>
      <c r="G29" s="140"/>
      <c r="H29" s="140"/>
      <c r="I29" s="140"/>
      <c r="J29" s="140"/>
      <c r="K29" s="345"/>
      <c r="L29" s="346"/>
      <c r="M29" s="347"/>
      <c r="N29" s="347"/>
      <c r="O29" s="347"/>
      <c r="P29" s="345"/>
    </row>
    <row r="30" spans="1:16">
      <c r="A30" s="142">
        <v>3</v>
      </c>
      <c r="B30" s="137" t="s">
        <v>152</v>
      </c>
      <c r="C30" s="138" t="s">
        <v>374</v>
      </c>
      <c r="D30" s="139" t="s">
        <v>74</v>
      </c>
      <c r="E30" s="344">
        <v>190</v>
      </c>
      <c r="F30" s="146"/>
      <c r="G30" s="140"/>
      <c r="H30" s="140"/>
      <c r="I30" s="140"/>
      <c r="J30" s="140"/>
      <c r="K30" s="345"/>
      <c r="L30" s="346"/>
      <c r="M30" s="347"/>
      <c r="N30" s="347"/>
      <c r="O30" s="347"/>
      <c r="P30" s="345"/>
    </row>
    <row r="31" spans="1:16">
      <c r="A31" s="142">
        <v>4</v>
      </c>
      <c r="B31" s="137" t="s">
        <v>152</v>
      </c>
      <c r="C31" s="138" t="s">
        <v>375</v>
      </c>
      <c r="D31" s="139" t="s">
        <v>370</v>
      </c>
      <c r="E31" s="344">
        <v>1</v>
      </c>
      <c r="F31" s="146"/>
      <c r="G31" s="140"/>
      <c r="H31" s="140"/>
      <c r="I31" s="140"/>
      <c r="J31" s="140"/>
      <c r="K31" s="345"/>
      <c r="L31" s="346"/>
      <c r="M31" s="347"/>
      <c r="N31" s="347"/>
      <c r="O31" s="347"/>
      <c r="P31" s="345"/>
    </row>
    <row r="32" spans="1:16">
      <c r="A32" s="142">
        <v>5</v>
      </c>
      <c r="B32" s="137" t="s">
        <v>152</v>
      </c>
      <c r="C32" s="138" t="s">
        <v>376</v>
      </c>
      <c r="D32" s="139" t="s">
        <v>74</v>
      </c>
      <c r="E32" s="344">
        <v>40</v>
      </c>
      <c r="F32" s="146"/>
      <c r="G32" s="140"/>
      <c r="H32" s="140"/>
      <c r="I32" s="140"/>
      <c r="J32" s="140"/>
      <c r="K32" s="345"/>
      <c r="L32" s="346"/>
      <c r="M32" s="347"/>
      <c r="N32" s="347"/>
      <c r="O32" s="347"/>
      <c r="P32" s="345"/>
    </row>
    <row r="33" spans="1:16">
      <c r="A33" s="142">
        <v>6</v>
      </c>
      <c r="B33" s="137" t="s">
        <v>152</v>
      </c>
      <c r="C33" s="138" t="s">
        <v>377</v>
      </c>
      <c r="D33" s="139" t="s">
        <v>74</v>
      </c>
      <c r="E33" s="344">
        <v>15</v>
      </c>
      <c r="F33" s="146"/>
      <c r="G33" s="140"/>
      <c r="H33" s="140"/>
      <c r="I33" s="140"/>
      <c r="J33" s="140"/>
      <c r="K33" s="345"/>
      <c r="L33" s="346"/>
      <c r="M33" s="347"/>
      <c r="N33" s="347"/>
      <c r="O33" s="347"/>
      <c r="P33" s="345"/>
    </row>
    <row r="34" spans="1:16">
      <c r="A34" s="142">
        <v>7</v>
      </c>
      <c r="B34" s="137" t="s">
        <v>152</v>
      </c>
      <c r="C34" s="138" t="s">
        <v>378</v>
      </c>
      <c r="D34" s="139" t="s">
        <v>74</v>
      </c>
      <c r="E34" s="344">
        <v>190</v>
      </c>
      <c r="F34" s="146"/>
      <c r="G34" s="140"/>
      <c r="H34" s="140"/>
      <c r="I34" s="140"/>
      <c r="J34" s="140"/>
      <c r="K34" s="345"/>
      <c r="L34" s="346"/>
      <c r="M34" s="347"/>
      <c r="N34" s="347"/>
      <c r="O34" s="347"/>
      <c r="P34" s="345"/>
    </row>
    <row r="35" spans="1:16">
      <c r="A35" s="142">
        <v>8</v>
      </c>
      <c r="B35" s="137" t="s">
        <v>152</v>
      </c>
      <c r="C35" s="138" t="s">
        <v>401</v>
      </c>
      <c r="D35" s="139" t="s">
        <v>76</v>
      </c>
      <c r="E35" s="344">
        <v>5</v>
      </c>
      <c r="F35" s="146"/>
      <c r="G35" s="140"/>
      <c r="H35" s="140"/>
      <c r="I35" s="140"/>
      <c r="J35" s="140"/>
      <c r="K35" s="345"/>
      <c r="L35" s="346"/>
      <c r="M35" s="347"/>
      <c r="N35" s="347"/>
      <c r="O35" s="347"/>
      <c r="P35" s="345"/>
    </row>
    <row r="36" spans="1:16">
      <c r="A36" s="142">
        <v>9</v>
      </c>
      <c r="B36" s="137" t="s">
        <v>152</v>
      </c>
      <c r="C36" s="138" t="s">
        <v>379</v>
      </c>
      <c r="D36" s="139" t="s">
        <v>74</v>
      </c>
      <c r="E36" s="344">
        <v>245</v>
      </c>
      <c r="F36" s="146"/>
      <c r="G36" s="140"/>
      <c r="H36" s="140"/>
      <c r="I36" s="140"/>
      <c r="J36" s="140"/>
      <c r="K36" s="345"/>
      <c r="L36" s="346"/>
      <c r="M36" s="347"/>
      <c r="N36" s="347"/>
      <c r="O36" s="347"/>
      <c r="P36" s="345"/>
    </row>
    <row r="37" spans="1:16">
      <c r="A37" s="142">
        <v>10</v>
      </c>
      <c r="B37" s="137" t="s">
        <v>152</v>
      </c>
      <c r="C37" s="138" t="s">
        <v>146</v>
      </c>
      <c r="D37" s="139" t="s">
        <v>370</v>
      </c>
      <c r="E37" s="344">
        <v>1</v>
      </c>
      <c r="F37" s="146"/>
      <c r="G37" s="140"/>
      <c r="H37" s="140"/>
      <c r="I37" s="140"/>
      <c r="J37" s="140"/>
      <c r="K37" s="345"/>
      <c r="L37" s="346"/>
      <c r="M37" s="347"/>
      <c r="N37" s="347"/>
      <c r="O37" s="347"/>
      <c r="P37" s="345"/>
    </row>
    <row r="38" spans="1:16">
      <c r="A38" s="142"/>
      <c r="B38" s="137"/>
      <c r="C38" s="135" t="s">
        <v>385</v>
      </c>
      <c r="D38" s="139"/>
      <c r="E38" s="144"/>
      <c r="F38" s="146"/>
      <c r="G38" s="140"/>
      <c r="H38" s="140"/>
      <c r="I38" s="140"/>
      <c r="J38" s="140"/>
      <c r="K38" s="143"/>
      <c r="L38" s="145"/>
      <c r="M38" s="136"/>
      <c r="N38" s="136"/>
      <c r="O38" s="136"/>
      <c r="P38" s="143"/>
    </row>
    <row r="39" spans="1:16" ht="22.5">
      <c r="A39" s="142">
        <v>1</v>
      </c>
      <c r="B39" s="137" t="s">
        <v>152</v>
      </c>
      <c r="C39" s="138" t="s">
        <v>381</v>
      </c>
      <c r="D39" s="139" t="s">
        <v>76</v>
      </c>
      <c r="E39" s="144">
        <v>5</v>
      </c>
      <c r="F39" s="146"/>
      <c r="G39" s="140"/>
      <c r="H39" s="140"/>
      <c r="I39" s="140"/>
      <c r="J39" s="140"/>
      <c r="K39" s="345"/>
      <c r="L39" s="346"/>
      <c r="M39" s="347"/>
      <c r="N39" s="347"/>
      <c r="O39" s="347"/>
      <c r="P39" s="345"/>
    </row>
    <row r="40" spans="1:16">
      <c r="A40" s="142">
        <v>2</v>
      </c>
      <c r="B40" s="137" t="s">
        <v>152</v>
      </c>
      <c r="C40" s="138" t="s">
        <v>382</v>
      </c>
      <c r="D40" s="139" t="s">
        <v>76</v>
      </c>
      <c r="E40" s="144">
        <v>5</v>
      </c>
      <c r="F40" s="146"/>
      <c r="G40" s="140"/>
      <c r="H40" s="140"/>
      <c r="I40" s="140"/>
      <c r="J40" s="140"/>
      <c r="K40" s="345"/>
      <c r="L40" s="346"/>
      <c r="M40" s="347"/>
      <c r="N40" s="347"/>
      <c r="O40" s="347"/>
      <c r="P40" s="345"/>
    </row>
    <row r="41" spans="1:16" ht="22.5">
      <c r="A41" s="142">
        <v>3</v>
      </c>
      <c r="B41" s="137" t="s">
        <v>152</v>
      </c>
      <c r="C41" s="138" t="s">
        <v>383</v>
      </c>
      <c r="D41" s="139" t="s">
        <v>370</v>
      </c>
      <c r="E41" s="144">
        <v>1</v>
      </c>
      <c r="F41" s="146"/>
      <c r="G41" s="140"/>
      <c r="H41" s="140"/>
      <c r="I41" s="140"/>
      <c r="J41" s="140"/>
      <c r="K41" s="345"/>
      <c r="L41" s="346"/>
      <c r="M41" s="347"/>
      <c r="N41" s="347"/>
      <c r="O41" s="347"/>
      <c r="P41" s="345"/>
    </row>
    <row r="42" spans="1:16">
      <c r="A42" s="142">
        <v>4</v>
      </c>
      <c r="B42" s="137" t="s">
        <v>152</v>
      </c>
      <c r="C42" s="138" t="s">
        <v>384</v>
      </c>
      <c r="D42" s="139" t="s">
        <v>370</v>
      </c>
      <c r="E42" s="144">
        <v>1</v>
      </c>
      <c r="F42" s="146"/>
      <c r="G42" s="140"/>
      <c r="H42" s="140"/>
      <c r="I42" s="140"/>
      <c r="J42" s="140"/>
      <c r="K42" s="345"/>
      <c r="L42" s="346"/>
      <c r="M42" s="347"/>
      <c r="N42" s="347"/>
      <c r="O42" s="347"/>
      <c r="P42" s="345"/>
    </row>
    <row r="43" spans="1:16">
      <c r="A43" s="142"/>
      <c r="B43" s="137"/>
      <c r="C43" s="135" t="s">
        <v>396</v>
      </c>
      <c r="D43" s="139"/>
      <c r="E43" s="144"/>
      <c r="F43" s="146"/>
      <c r="G43" s="140"/>
      <c r="H43" s="140"/>
      <c r="I43" s="140"/>
      <c r="J43" s="140"/>
      <c r="K43" s="345"/>
      <c r="L43" s="346"/>
      <c r="M43" s="347"/>
      <c r="N43" s="347"/>
      <c r="O43" s="347"/>
      <c r="P43" s="345"/>
    </row>
    <row r="44" spans="1:16">
      <c r="A44" s="142"/>
      <c r="B44" s="137"/>
      <c r="C44" s="138" t="s">
        <v>386</v>
      </c>
      <c r="D44" s="139" t="s">
        <v>76</v>
      </c>
      <c r="E44" s="144">
        <v>4</v>
      </c>
      <c r="F44" s="146"/>
      <c r="G44" s="140"/>
      <c r="H44" s="140"/>
      <c r="I44" s="140"/>
      <c r="J44" s="140"/>
      <c r="K44" s="345"/>
      <c r="L44" s="346"/>
      <c r="M44" s="347"/>
      <c r="N44" s="347"/>
      <c r="O44" s="347"/>
      <c r="P44" s="345"/>
    </row>
    <row r="45" spans="1:16" ht="22.5">
      <c r="A45" s="142"/>
      <c r="B45" s="137"/>
      <c r="C45" s="138" t="s">
        <v>387</v>
      </c>
      <c r="D45" s="139" t="s">
        <v>76</v>
      </c>
      <c r="E45" s="144">
        <v>4</v>
      </c>
      <c r="F45" s="146"/>
      <c r="G45" s="140"/>
      <c r="H45" s="140"/>
      <c r="I45" s="140"/>
      <c r="J45" s="140"/>
      <c r="K45" s="345"/>
      <c r="L45" s="346"/>
      <c r="M45" s="347"/>
      <c r="N45" s="347"/>
      <c r="O45" s="347"/>
      <c r="P45" s="345"/>
    </row>
    <row r="46" spans="1:16">
      <c r="A46" s="142"/>
      <c r="B46" s="137"/>
      <c r="C46" s="138" t="s">
        <v>388</v>
      </c>
      <c r="D46" s="139" t="s">
        <v>76</v>
      </c>
      <c r="E46" s="144">
        <v>5</v>
      </c>
      <c r="F46" s="146"/>
      <c r="G46" s="140"/>
      <c r="H46" s="140"/>
      <c r="I46" s="140"/>
      <c r="J46" s="140"/>
      <c r="K46" s="345"/>
      <c r="L46" s="346"/>
      <c r="M46" s="347"/>
      <c r="N46" s="347"/>
      <c r="O46" s="347"/>
      <c r="P46" s="345"/>
    </row>
    <row r="47" spans="1:16">
      <c r="A47" s="142"/>
      <c r="B47" s="137"/>
      <c r="C47" s="138" t="s">
        <v>389</v>
      </c>
      <c r="D47" s="139" t="s">
        <v>76</v>
      </c>
      <c r="E47" s="144">
        <v>5</v>
      </c>
      <c r="F47" s="146"/>
      <c r="G47" s="140"/>
      <c r="H47" s="140"/>
      <c r="I47" s="140"/>
      <c r="J47" s="140"/>
      <c r="K47" s="345"/>
      <c r="L47" s="346"/>
      <c r="M47" s="347"/>
      <c r="N47" s="347"/>
      <c r="O47" s="347"/>
      <c r="P47" s="345"/>
    </row>
    <row r="48" spans="1:16">
      <c r="A48" s="142"/>
      <c r="B48" s="137"/>
      <c r="C48" s="138" t="s">
        <v>390</v>
      </c>
      <c r="D48" s="139" t="s">
        <v>76</v>
      </c>
      <c r="E48" s="144">
        <v>5</v>
      </c>
      <c r="F48" s="146"/>
      <c r="G48" s="140"/>
      <c r="H48" s="140"/>
      <c r="I48" s="140"/>
      <c r="J48" s="140"/>
      <c r="K48" s="345"/>
      <c r="L48" s="346"/>
      <c r="M48" s="347"/>
      <c r="N48" s="347"/>
      <c r="O48" s="347"/>
      <c r="P48" s="345"/>
    </row>
    <row r="49" spans="1:16">
      <c r="A49" s="142"/>
      <c r="B49" s="137"/>
      <c r="C49" s="138" t="s">
        <v>391</v>
      </c>
      <c r="D49" s="139" t="s">
        <v>76</v>
      </c>
      <c r="E49" s="144">
        <v>5</v>
      </c>
      <c r="F49" s="146"/>
      <c r="G49" s="140"/>
      <c r="H49" s="140"/>
      <c r="I49" s="140"/>
      <c r="J49" s="140"/>
      <c r="K49" s="345"/>
      <c r="L49" s="346"/>
      <c r="M49" s="347"/>
      <c r="N49" s="347"/>
      <c r="O49" s="347"/>
      <c r="P49" s="345"/>
    </row>
    <row r="50" spans="1:16">
      <c r="A50" s="142"/>
      <c r="B50" s="137"/>
      <c r="C50" s="138" t="s">
        <v>392</v>
      </c>
      <c r="D50" s="139" t="s">
        <v>76</v>
      </c>
      <c r="E50" s="144">
        <v>5</v>
      </c>
      <c r="F50" s="146"/>
      <c r="G50" s="140"/>
      <c r="H50" s="140"/>
      <c r="I50" s="140"/>
      <c r="J50" s="140"/>
      <c r="K50" s="345"/>
      <c r="L50" s="346"/>
      <c r="M50" s="347"/>
      <c r="N50" s="347"/>
      <c r="O50" s="347"/>
      <c r="P50" s="345"/>
    </row>
    <row r="51" spans="1:16" ht="22.5">
      <c r="A51" s="142"/>
      <c r="B51" s="137"/>
      <c r="C51" s="138" t="s">
        <v>393</v>
      </c>
      <c r="D51" s="139" t="s">
        <v>76</v>
      </c>
      <c r="E51" s="144">
        <v>20</v>
      </c>
      <c r="F51" s="146"/>
      <c r="G51" s="140"/>
      <c r="H51" s="140"/>
      <c r="I51" s="140"/>
      <c r="J51" s="140"/>
      <c r="K51" s="345"/>
      <c r="L51" s="346"/>
      <c r="M51" s="347"/>
      <c r="N51" s="347"/>
      <c r="O51" s="347"/>
      <c r="P51" s="345"/>
    </row>
    <row r="52" spans="1:16">
      <c r="A52" s="142"/>
      <c r="B52" s="137"/>
      <c r="C52" s="138" t="s">
        <v>394</v>
      </c>
      <c r="D52" s="139" t="s">
        <v>76</v>
      </c>
      <c r="E52" s="144">
        <v>4</v>
      </c>
      <c r="F52" s="146"/>
      <c r="G52" s="140"/>
      <c r="H52" s="140"/>
      <c r="I52" s="140"/>
      <c r="J52" s="140"/>
      <c r="K52" s="345"/>
      <c r="L52" s="346"/>
      <c r="M52" s="347"/>
      <c r="N52" s="347"/>
      <c r="O52" s="347"/>
      <c r="P52" s="345"/>
    </row>
    <row r="53" spans="1:16" ht="22.5">
      <c r="A53" s="142"/>
      <c r="B53" s="137"/>
      <c r="C53" s="138" t="s">
        <v>402</v>
      </c>
      <c r="D53" s="139" t="s">
        <v>76</v>
      </c>
      <c r="E53" s="144">
        <v>5</v>
      </c>
      <c r="F53" s="146"/>
      <c r="G53" s="140"/>
      <c r="H53" s="140"/>
      <c r="I53" s="140"/>
      <c r="J53" s="140"/>
      <c r="K53" s="345"/>
      <c r="L53" s="346"/>
      <c r="M53" s="347"/>
      <c r="N53" s="347"/>
      <c r="O53" s="347"/>
      <c r="P53" s="345"/>
    </row>
    <row r="54" spans="1:16">
      <c r="A54" s="142"/>
      <c r="B54" s="137"/>
      <c r="C54" s="138" t="s">
        <v>395</v>
      </c>
      <c r="D54" s="139" t="s">
        <v>370</v>
      </c>
      <c r="E54" s="144">
        <v>1</v>
      </c>
      <c r="F54" s="146"/>
      <c r="G54" s="140"/>
      <c r="H54" s="140"/>
      <c r="I54" s="140"/>
      <c r="J54" s="140"/>
      <c r="K54" s="345"/>
      <c r="L54" s="346"/>
      <c r="M54" s="347"/>
      <c r="N54" s="347"/>
      <c r="O54" s="347"/>
      <c r="P54" s="345"/>
    </row>
    <row r="55" spans="1:16" ht="12" thickBot="1">
      <c r="A55" s="125"/>
      <c r="B55" s="126"/>
      <c r="C55" s="127"/>
      <c r="D55" s="128"/>
      <c r="E55" s="132"/>
      <c r="F55" s="134"/>
      <c r="G55" s="130"/>
      <c r="H55" s="130"/>
      <c r="I55" s="129"/>
      <c r="J55" s="130"/>
      <c r="K55" s="131"/>
      <c r="L55" s="133"/>
      <c r="M55" s="130"/>
      <c r="N55" s="129"/>
      <c r="O55" s="129"/>
      <c r="P55" s="131"/>
    </row>
    <row r="56" spans="1:16" ht="12" thickBot="1">
      <c r="A56" s="597" t="s">
        <v>5</v>
      </c>
      <c r="B56" s="598"/>
      <c r="C56" s="598"/>
      <c r="D56" s="598"/>
      <c r="E56" s="598"/>
      <c r="F56" s="598"/>
      <c r="G56" s="598"/>
      <c r="H56" s="598"/>
      <c r="I56" s="598"/>
      <c r="J56" s="598"/>
      <c r="K56" s="599"/>
      <c r="L56" s="164">
        <f>SUM(L18:L55)</f>
        <v>0</v>
      </c>
      <c r="M56" s="152">
        <f>SUM(M18:M55)</f>
        <v>0</v>
      </c>
      <c r="N56" s="152">
        <f>SUM(N18:N55)</f>
        <v>0</v>
      </c>
      <c r="O56" s="152">
        <f>SUM(O18:O55)</f>
        <v>0</v>
      </c>
      <c r="P56" s="166">
        <f>SUM(P18:P55)</f>
        <v>0</v>
      </c>
    </row>
    <row r="57" spans="1:16" ht="12" thickBot="1">
      <c r="A57" s="548" t="s">
        <v>427</v>
      </c>
      <c r="B57" s="549"/>
      <c r="C57" s="549"/>
      <c r="D57" s="549"/>
      <c r="E57" s="549"/>
      <c r="F57" s="549"/>
      <c r="G57" s="549"/>
      <c r="H57" s="549"/>
      <c r="I57" s="549"/>
      <c r="J57" s="549"/>
      <c r="K57" s="550"/>
      <c r="L57" s="155"/>
      <c r="M57" s="156"/>
      <c r="N57" s="156"/>
      <c r="O57" s="156"/>
      <c r="P57" s="157"/>
    </row>
    <row r="58" spans="1:16" ht="12" thickBot="1">
      <c r="A58" s="542" t="s">
        <v>5</v>
      </c>
      <c r="B58" s="543"/>
      <c r="C58" s="543"/>
      <c r="D58" s="543"/>
      <c r="E58" s="543"/>
      <c r="F58" s="543"/>
      <c r="G58" s="543"/>
      <c r="H58" s="543"/>
      <c r="I58" s="543"/>
      <c r="J58" s="543"/>
      <c r="K58" s="544"/>
      <c r="L58" s="165">
        <f>SUM(L56:L57)</f>
        <v>0</v>
      </c>
      <c r="M58" s="159">
        <f>SUM(M56:M57)</f>
        <v>0</v>
      </c>
      <c r="N58" s="159">
        <f>SUM(N56:N57)</f>
        <v>0</v>
      </c>
      <c r="O58" s="159">
        <f>SUM(O56:O57)</f>
        <v>0</v>
      </c>
      <c r="P58" s="160">
        <f>SUM(P56:P57)</f>
        <v>0</v>
      </c>
    </row>
    <row r="60" spans="1:16">
      <c r="A60" s="175" t="s">
        <v>172</v>
      </c>
    </row>
    <row r="61" spans="1:16">
      <c r="B61" s="121" t="s">
        <v>173</v>
      </c>
    </row>
    <row r="63" spans="1:16">
      <c r="A63" s="119" t="s">
        <v>422</v>
      </c>
      <c r="B63" s="120"/>
      <c r="H63" s="119" t="s">
        <v>423</v>
      </c>
    </row>
    <row r="64" spans="1:16">
      <c r="F64" s="122"/>
    </row>
  </sheetData>
  <mergeCells count="16">
    <mergeCell ref="L16:P16"/>
    <mergeCell ref="A56:K56"/>
    <mergeCell ref="A57:K57"/>
    <mergeCell ref="A58:K58"/>
    <mergeCell ref="A16:A17"/>
    <mergeCell ref="B16:B17"/>
    <mergeCell ref="C16:C17"/>
    <mergeCell ref="D16:D17"/>
    <mergeCell ref="E16:E17"/>
    <mergeCell ref="F16:K16"/>
    <mergeCell ref="A1:P1"/>
    <mergeCell ref="A2:P3"/>
    <mergeCell ref="A5:P5"/>
    <mergeCell ref="A6:P6"/>
    <mergeCell ref="L12:N12"/>
    <mergeCell ref="O12:P12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showZeros="0" zoomScale="92" workbookViewId="0">
      <selection activeCell="C92" sqref="C92"/>
    </sheetView>
  </sheetViews>
  <sheetFormatPr defaultRowHeight="11.25"/>
  <cols>
    <col min="1" max="1" width="3" style="213" customWidth="1"/>
    <col min="2" max="2" width="9" style="244" customWidth="1"/>
    <col min="3" max="3" width="30.140625" style="213" customWidth="1"/>
    <col min="4" max="4" width="6.140625" style="213" bestFit="1" customWidth="1"/>
    <col min="5" max="5" width="9.5703125" style="213" bestFit="1" customWidth="1"/>
    <col min="6" max="6" width="6" style="213" customWidth="1"/>
    <col min="7" max="7" width="8" style="213" customWidth="1"/>
    <col min="8" max="8" width="6.5703125" style="213" bestFit="1" customWidth="1"/>
    <col min="9" max="9" width="7.5703125" style="213" bestFit="1" customWidth="1"/>
    <col min="10" max="10" width="6.5703125" style="213" bestFit="1" customWidth="1"/>
    <col min="11" max="11" width="7.5703125" style="213" bestFit="1" customWidth="1"/>
    <col min="12" max="12" width="8.28515625" style="213" customWidth="1"/>
    <col min="13" max="13" width="9.85546875" style="213" customWidth="1"/>
    <col min="14" max="14" width="9.5703125" style="213" bestFit="1" customWidth="1"/>
    <col min="15" max="15" width="8.5703125" style="213" bestFit="1" customWidth="1"/>
    <col min="16" max="16" width="10.140625" style="213" customWidth="1"/>
    <col min="17" max="16384" width="9.140625" style="213"/>
  </cols>
  <sheetData>
    <row r="1" spans="1:16" ht="18">
      <c r="A1" s="564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3.5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 ht="13.5" customHeight="1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</row>
    <row r="5" spans="1:16" ht="14.25">
      <c r="A5" s="571" t="s">
        <v>398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</row>
    <row r="6" spans="1:16" ht="14.25">
      <c r="A6" s="571" t="str">
        <f>'O1'!B24</f>
        <v>Elektroapgāde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</row>
    <row r="7" spans="1:16" ht="14.25">
      <c r="A7" s="214"/>
      <c r="B7" s="215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spans="1:16" ht="14.25">
      <c r="A8" s="216" t="s">
        <v>143</v>
      </c>
      <c r="B8" s="217"/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ht="14.25">
      <c r="A9" s="220" t="s">
        <v>142</v>
      </c>
      <c r="B9" s="217"/>
      <c r="C9" s="221"/>
      <c r="D9" s="222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ht="14.25">
      <c r="A10" s="220" t="str">
        <f>'O1'!A8</f>
        <v>Objekta adrese: Liepājas iela 58a, Kuldīga, Kuldīgas novads</v>
      </c>
      <c r="B10" s="217"/>
      <c r="C10" s="221"/>
      <c r="D10" s="222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16">
      <c r="A11" s="223"/>
      <c r="B11" s="224"/>
      <c r="C11" s="221"/>
      <c r="D11" s="222"/>
      <c r="E11" s="219"/>
      <c r="F11" s="225"/>
      <c r="G11" s="219"/>
      <c r="H11" s="219"/>
      <c r="I11" s="219"/>
      <c r="J11" s="219"/>
      <c r="K11" s="219"/>
      <c r="L11" s="225"/>
      <c r="M11" s="219"/>
      <c r="N11" s="226"/>
      <c r="O11" s="226"/>
      <c r="P11" s="219"/>
    </row>
    <row r="12" spans="1:16" ht="14.25">
      <c r="A12" s="220" t="s">
        <v>12</v>
      </c>
      <c r="B12" s="224"/>
      <c r="C12" s="221"/>
      <c r="D12" s="222"/>
      <c r="E12" s="219"/>
      <c r="F12" s="225"/>
      <c r="G12" s="219"/>
      <c r="H12" s="219"/>
      <c r="I12" s="219"/>
      <c r="J12" s="219"/>
      <c r="K12" s="219"/>
      <c r="L12" s="576" t="s">
        <v>13</v>
      </c>
      <c r="M12" s="576"/>
      <c r="N12" s="576"/>
      <c r="O12" s="583">
        <f>P87</f>
        <v>0</v>
      </c>
      <c r="P12" s="583"/>
    </row>
    <row r="13" spans="1:16" ht="14.25">
      <c r="A13" s="220" t="s">
        <v>168</v>
      </c>
      <c r="B13" s="224"/>
      <c r="C13" s="221"/>
      <c r="D13" s="222"/>
      <c r="E13" s="219"/>
      <c r="F13" s="225"/>
      <c r="G13" s="219"/>
      <c r="H13" s="219"/>
      <c r="I13" s="219"/>
      <c r="J13" s="219"/>
      <c r="K13" s="219"/>
      <c r="L13" s="216" t="str">
        <f>'O1'!B16</f>
        <v>Tāme sastādīta: 2013. gada 18. martā</v>
      </c>
      <c r="M13" s="219"/>
      <c r="N13" s="226"/>
      <c r="O13" s="226"/>
      <c r="P13" s="219"/>
    </row>
    <row r="14" spans="1:16">
      <c r="A14" s="223"/>
      <c r="B14" s="224"/>
      <c r="C14" s="221"/>
      <c r="D14" s="222"/>
      <c r="E14" s="219"/>
      <c r="F14" s="225"/>
      <c r="G14" s="219"/>
      <c r="H14" s="219"/>
      <c r="I14" s="219"/>
      <c r="J14" s="219"/>
      <c r="K14" s="219"/>
      <c r="L14" s="225"/>
      <c r="M14" s="219"/>
      <c r="N14" s="226"/>
      <c r="O14" s="219"/>
      <c r="P14" s="219"/>
    </row>
    <row r="15" spans="1:16" ht="12" thickBot="1">
      <c r="A15" s="227"/>
      <c r="B15" s="224"/>
      <c r="C15" s="218"/>
      <c r="D15" s="219"/>
      <c r="E15" s="219"/>
      <c r="F15" s="219"/>
      <c r="G15" s="219"/>
      <c r="H15" s="219"/>
      <c r="I15" s="219"/>
      <c r="J15" s="219"/>
      <c r="K15" s="219"/>
      <c r="L15" s="225"/>
      <c r="M15" s="219"/>
      <c r="N15" s="219"/>
      <c r="O15" s="219"/>
      <c r="P15" s="219"/>
    </row>
    <row r="16" spans="1:16">
      <c r="A16" s="593" t="s">
        <v>14</v>
      </c>
      <c r="B16" s="595" t="s">
        <v>15</v>
      </c>
      <c r="C16" s="572" t="s">
        <v>16</v>
      </c>
      <c r="D16" s="574" t="s">
        <v>3</v>
      </c>
      <c r="E16" s="604" t="s">
        <v>4</v>
      </c>
      <c r="F16" s="579" t="s">
        <v>17</v>
      </c>
      <c r="G16" s="580"/>
      <c r="H16" s="580"/>
      <c r="I16" s="580"/>
      <c r="J16" s="580"/>
      <c r="K16" s="581"/>
      <c r="L16" s="579" t="s">
        <v>18</v>
      </c>
      <c r="M16" s="580"/>
      <c r="N16" s="580"/>
      <c r="O16" s="580"/>
      <c r="P16" s="581"/>
    </row>
    <row r="17" spans="1:16" ht="77.25" customHeight="1">
      <c r="A17" s="600"/>
      <c r="B17" s="601"/>
      <c r="C17" s="602"/>
      <c r="D17" s="603"/>
      <c r="E17" s="605"/>
      <c r="F17" s="488" t="s">
        <v>19</v>
      </c>
      <c r="G17" s="228" t="s">
        <v>20</v>
      </c>
      <c r="H17" s="228" t="s">
        <v>21</v>
      </c>
      <c r="I17" s="228" t="s">
        <v>22</v>
      </c>
      <c r="J17" s="228" t="s">
        <v>23</v>
      </c>
      <c r="K17" s="229" t="s">
        <v>24</v>
      </c>
      <c r="L17" s="488" t="s">
        <v>25</v>
      </c>
      <c r="M17" s="228" t="s">
        <v>21</v>
      </c>
      <c r="N17" s="228" t="s">
        <v>22</v>
      </c>
      <c r="O17" s="228" t="s">
        <v>23</v>
      </c>
      <c r="P17" s="229" t="s">
        <v>26</v>
      </c>
    </row>
    <row r="18" spans="1:16">
      <c r="A18" s="484"/>
      <c r="B18" s="485"/>
      <c r="C18" s="486"/>
      <c r="D18" s="366"/>
      <c r="E18" s="370"/>
      <c r="F18" s="487"/>
      <c r="G18" s="369"/>
      <c r="H18" s="356"/>
      <c r="I18" s="356"/>
      <c r="J18" s="356"/>
      <c r="K18" s="357"/>
      <c r="L18" s="496"/>
      <c r="M18" s="356"/>
      <c r="N18" s="356"/>
      <c r="O18" s="356"/>
      <c r="P18" s="357"/>
    </row>
    <row r="19" spans="1:16" ht="12.75">
      <c r="A19" s="606">
        <v>1</v>
      </c>
      <c r="B19" s="489"/>
      <c r="C19" s="607" t="s">
        <v>429</v>
      </c>
      <c r="D19" s="608" t="s">
        <v>430</v>
      </c>
      <c r="E19" s="609">
        <v>5</v>
      </c>
      <c r="F19" s="492"/>
      <c r="G19" s="489"/>
      <c r="H19" s="489"/>
      <c r="I19" s="489"/>
      <c r="J19" s="489"/>
      <c r="K19" s="491"/>
      <c r="L19" s="497"/>
      <c r="M19" s="490"/>
      <c r="N19" s="490"/>
      <c r="O19" s="490"/>
      <c r="P19" s="491"/>
    </row>
    <row r="20" spans="1:16" ht="12.75">
      <c r="A20" s="606">
        <v>2</v>
      </c>
      <c r="B20" s="489"/>
      <c r="C20" s="607" t="s">
        <v>431</v>
      </c>
      <c r="D20" s="608" t="s">
        <v>430</v>
      </c>
      <c r="E20" s="609">
        <v>1</v>
      </c>
      <c r="F20" s="492"/>
      <c r="G20" s="489"/>
      <c r="H20" s="489"/>
      <c r="I20" s="489"/>
      <c r="J20" s="489"/>
      <c r="K20" s="491"/>
      <c r="L20" s="497"/>
      <c r="M20" s="490"/>
      <c r="N20" s="490"/>
      <c r="O20" s="490"/>
      <c r="P20" s="491"/>
    </row>
    <row r="21" spans="1:16" ht="12.75">
      <c r="A21" s="606">
        <v>3</v>
      </c>
      <c r="B21" s="489"/>
      <c r="C21" s="610" t="s">
        <v>432</v>
      </c>
      <c r="D21" s="608" t="s">
        <v>430</v>
      </c>
      <c r="E21" s="609">
        <v>1</v>
      </c>
      <c r="F21" s="492"/>
      <c r="G21" s="489"/>
      <c r="H21" s="489"/>
      <c r="I21" s="489"/>
      <c r="J21" s="489"/>
      <c r="K21" s="491"/>
      <c r="L21" s="497"/>
      <c r="M21" s="490"/>
      <c r="N21" s="490"/>
      <c r="O21" s="490"/>
      <c r="P21" s="491"/>
    </row>
    <row r="22" spans="1:16" ht="12.75">
      <c r="A22" s="606">
        <v>4</v>
      </c>
      <c r="B22" s="489"/>
      <c r="C22" s="610" t="s">
        <v>433</v>
      </c>
      <c r="D22" s="608" t="s">
        <v>430</v>
      </c>
      <c r="E22" s="609">
        <v>5</v>
      </c>
      <c r="F22" s="492"/>
      <c r="G22" s="489"/>
      <c r="H22" s="489"/>
      <c r="I22" s="489"/>
      <c r="J22" s="489"/>
      <c r="K22" s="491"/>
      <c r="L22" s="497"/>
      <c r="M22" s="490"/>
      <c r="N22" s="490"/>
      <c r="O22" s="490"/>
      <c r="P22" s="491"/>
    </row>
    <row r="23" spans="1:16" ht="12.75">
      <c r="A23" s="606">
        <v>5</v>
      </c>
      <c r="B23" s="489"/>
      <c r="C23" s="610" t="s">
        <v>434</v>
      </c>
      <c r="D23" s="608" t="s">
        <v>430</v>
      </c>
      <c r="E23" s="609">
        <v>3</v>
      </c>
      <c r="F23" s="492"/>
      <c r="G23" s="489"/>
      <c r="H23" s="489"/>
      <c r="I23" s="489"/>
      <c r="J23" s="489"/>
      <c r="K23" s="491"/>
      <c r="L23" s="497"/>
      <c r="M23" s="490"/>
      <c r="N23" s="490"/>
      <c r="O23" s="490"/>
      <c r="P23" s="491"/>
    </row>
    <row r="24" spans="1:16" ht="12.75">
      <c r="A24" s="606">
        <v>6</v>
      </c>
      <c r="B24" s="489"/>
      <c r="C24" s="610" t="s">
        <v>435</v>
      </c>
      <c r="D24" s="608" t="s">
        <v>430</v>
      </c>
      <c r="E24" s="609">
        <v>1</v>
      </c>
      <c r="F24" s="492"/>
      <c r="G24" s="489"/>
      <c r="H24" s="489"/>
      <c r="I24" s="489"/>
      <c r="J24" s="489"/>
      <c r="K24" s="491"/>
      <c r="L24" s="497"/>
      <c r="M24" s="490"/>
      <c r="N24" s="490"/>
      <c r="O24" s="490"/>
      <c r="P24" s="491"/>
    </row>
    <row r="25" spans="1:16" ht="12.75">
      <c r="A25" s="606">
        <v>7</v>
      </c>
      <c r="B25" s="489"/>
      <c r="C25" s="610" t="s">
        <v>436</v>
      </c>
      <c r="D25" s="608" t="s">
        <v>430</v>
      </c>
      <c r="E25" s="609">
        <v>1</v>
      </c>
      <c r="F25" s="492"/>
      <c r="G25" s="489"/>
      <c r="H25" s="489"/>
      <c r="I25" s="489"/>
      <c r="J25" s="489"/>
      <c r="K25" s="491"/>
      <c r="L25" s="497"/>
      <c r="M25" s="490"/>
      <c r="N25" s="490"/>
      <c r="O25" s="490"/>
      <c r="P25" s="491"/>
    </row>
    <row r="26" spans="1:16" ht="12.75">
      <c r="A26" s="606">
        <v>8</v>
      </c>
      <c r="B26" s="489"/>
      <c r="C26" s="610" t="s">
        <v>437</v>
      </c>
      <c r="D26" s="608" t="s">
        <v>430</v>
      </c>
      <c r="E26" s="609">
        <v>25</v>
      </c>
      <c r="F26" s="492"/>
      <c r="G26" s="489"/>
      <c r="H26" s="489"/>
      <c r="I26" s="489"/>
      <c r="J26" s="489"/>
      <c r="K26" s="491"/>
      <c r="L26" s="497"/>
      <c r="M26" s="490"/>
      <c r="N26" s="490"/>
      <c r="O26" s="490"/>
      <c r="P26" s="491"/>
    </row>
    <row r="27" spans="1:16" ht="12.75">
      <c r="A27" s="606">
        <v>9</v>
      </c>
      <c r="B27" s="489"/>
      <c r="C27" s="610" t="s">
        <v>438</v>
      </c>
      <c r="D27" s="608" t="s">
        <v>430</v>
      </c>
      <c r="E27" s="609">
        <v>5</v>
      </c>
      <c r="F27" s="492"/>
      <c r="G27" s="489"/>
      <c r="H27" s="489"/>
      <c r="I27" s="489"/>
      <c r="J27" s="489"/>
      <c r="K27" s="491"/>
      <c r="L27" s="497"/>
      <c r="M27" s="490"/>
      <c r="N27" s="490"/>
      <c r="O27" s="490"/>
      <c r="P27" s="491"/>
    </row>
    <row r="28" spans="1:16" ht="25.5">
      <c r="A28" s="606">
        <v>10</v>
      </c>
      <c r="B28" s="489"/>
      <c r="C28" s="610" t="s">
        <v>439</v>
      </c>
      <c r="D28" s="608" t="s">
        <v>430</v>
      </c>
      <c r="E28" s="609">
        <v>5</v>
      </c>
      <c r="F28" s="492"/>
      <c r="G28" s="489"/>
      <c r="H28" s="489"/>
      <c r="I28" s="489"/>
      <c r="J28" s="489"/>
      <c r="K28" s="491"/>
      <c r="L28" s="497"/>
      <c r="M28" s="490"/>
      <c r="N28" s="490"/>
      <c r="O28" s="490"/>
      <c r="P28" s="491"/>
    </row>
    <row r="29" spans="1:16" ht="25.5">
      <c r="A29" s="606">
        <v>11</v>
      </c>
      <c r="B29" s="489"/>
      <c r="C29" s="610" t="s">
        <v>440</v>
      </c>
      <c r="D29" s="608" t="s">
        <v>430</v>
      </c>
      <c r="E29" s="609">
        <v>1</v>
      </c>
      <c r="F29" s="492"/>
      <c r="G29" s="489"/>
      <c r="H29" s="489"/>
      <c r="I29" s="489"/>
      <c r="J29" s="489"/>
      <c r="K29" s="491"/>
      <c r="L29" s="497"/>
      <c r="M29" s="490"/>
      <c r="N29" s="490"/>
      <c r="O29" s="490"/>
      <c r="P29" s="491"/>
    </row>
    <row r="30" spans="1:16" ht="25.5">
      <c r="A30" s="606">
        <v>12</v>
      </c>
      <c r="B30" s="489"/>
      <c r="C30" s="610" t="s">
        <v>441</v>
      </c>
      <c r="D30" s="608" t="s">
        <v>430</v>
      </c>
      <c r="E30" s="609">
        <v>5</v>
      </c>
      <c r="F30" s="492"/>
      <c r="G30" s="489"/>
      <c r="H30" s="489"/>
      <c r="I30" s="489"/>
      <c r="J30" s="489"/>
      <c r="K30" s="491"/>
      <c r="L30" s="497"/>
      <c r="M30" s="490"/>
      <c r="N30" s="490"/>
      <c r="O30" s="490"/>
      <c r="P30" s="491"/>
    </row>
    <row r="31" spans="1:16" ht="25.5">
      <c r="A31" s="606">
        <v>13</v>
      </c>
      <c r="B31" s="489"/>
      <c r="C31" s="610" t="s">
        <v>442</v>
      </c>
      <c r="D31" s="608" t="s">
        <v>430</v>
      </c>
      <c r="E31" s="609">
        <v>1</v>
      </c>
      <c r="F31" s="492"/>
      <c r="G31" s="489"/>
      <c r="H31" s="489"/>
      <c r="I31" s="489"/>
      <c r="J31" s="489"/>
      <c r="K31" s="491"/>
      <c r="L31" s="497"/>
      <c r="M31" s="490"/>
      <c r="N31" s="490"/>
      <c r="O31" s="490"/>
      <c r="P31" s="491"/>
    </row>
    <row r="32" spans="1:16" ht="12.75">
      <c r="A32" s="606">
        <v>14</v>
      </c>
      <c r="B32" s="489"/>
      <c r="C32" s="610" t="s">
        <v>443</v>
      </c>
      <c r="D32" s="608" t="s">
        <v>430</v>
      </c>
      <c r="E32" s="611">
        <v>5</v>
      </c>
      <c r="F32" s="492"/>
      <c r="G32" s="489"/>
      <c r="H32" s="489"/>
      <c r="I32" s="489"/>
      <c r="J32" s="489"/>
      <c r="K32" s="491"/>
      <c r="L32" s="497"/>
      <c r="M32" s="490"/>
      <c r="N32" s="490"/>
      <c r="O32" s="490"/>
      <c r="P32" s="491"/>
    </row>
    <row r="33" spans="1:16" ht="12.75">
      <c r="A33" s="606">
        <v>15</v>
      </c>
      <c r="B33" s="489"/>
      <c r="C33" s="612" t="s">
        <v>444</v>
      </c>
      <c r="D33" s="608" t="s">
        <v>430</v>
      </c>
      <c r="E33" s="611">
        <v>2</v>
      </c>
      <c r="F33" s="492"/>
      <c r="G33" s="489"/>
      <c r="H33" s="489"/>
      <c r="I33" s="489"/>
      <c r="J33" s="489"/>
      <c r="K33" s="491"/>
      <c r="L33" s="497"/>
      <c r="M33" s="490"/>
      <c r="N33" s="490"/>
      <c r="O33" s="490"/>
      <c r="P33" s="491"/>
    </row>
    <row r="34" spans="1:16" ht="12.75">
      <c r="A34" s="606">
        <v>16</v>
      </c>
      <c r="B34" s="489"/>
      <c r="C34" s="612" t="s">
        <v>445</v>
      </c>
      <c r="D34" s="608" t="s">
        <v>430</v>
      </c>
      <c r="E34" s="611">
        <v>3</v>
      </c>
      <c r="F34" s="492"/>
      <c r="G34" s="489"/>
      <c r="H34" s="489"/>
      <c r="I34" s="489"/>
      <c r="J34" s="489"/>
      <c r="K34" s="491"/>
      <c r="L34" s="497"/>
      <c r="M34" s="490"/>
      <c r="N34" s="490"/>
      <c r="O34" s="490"/>
      <c r="P34" s="491"/>
    </row>
    <row r="35" spans="1:16" ht="12.75">
      <c r="A35" s="606">
        <v>17</v>
      </c>
      <c r="B35" s="489"/>
      <c r="C35" s="612" t="s">
        <v>446</v>
      </c>
      <c r="D35" s="608" t="s">
        <v>430</v>
      </c>
      <c r="E35" s="611">
        <v>9</v>
      </c>
      <c r="F35" s="492"/>
      <c r="G35" s="489"/>
      <c r="H35" s="489"/>
      <c r="I35" s="489"/>
      <c r="J35" s="489"/>
      <c r="K35" s="491"/>
      <c r="L35" s="497"/>
      <c r="M35" s="490"/>
      <c r="N35" s="490"/>
      <c r="O35" s="490"/>
      <c r="P35" s="491"/>
    </row>
    <row r="36" spans="1:16" ht="12.75">
      <c r="A36" s="606">
        <v>18</v>
      </c>
      <c r="B36" s="489"/>
      <c r="C36" s="612" t="s">
        <v>447</v>
      </c>
      <c r="D36" s="608" t="s">
        <v>430</v>
      </c>
      <c r="E36" s="611">
        <v>3</v>
      </c>
      <c r="F36" s="492"/>
      <c r="G36" s="489"/>
      <c r="H36" s="489"/>
      <c r="I36" s="489"/>
      <c r="J36" s="489"/>
      <c r="K36" s="491"/>
      <c r="L36" s="497"/>
      <c r="M36" s="490"/>
      <c r="N36" s="490"/>
      <c r="O36" s="490"/>
      <c r="P36" s="491"/>
    </row>
    <row r="37" spans="1:16" ht="12.75">
      <c r="A37" s="606">
        <v>19</v>
      </c>
      <c r="B37" s="489"/>
      <c r="C37" s="612" t="s">
        <v>448</v>
      </c>
      <c r="D37" s="608" t="s">
        <v>430</v>
      </c>
      <c r="E37" s="611">
        <v>5</v>
      </c>
      <c r="F37" s="492"/>
      <c r="G37" s="489"/>
      <c r="H37" s="489"/>
      <c r="I37" s="489"/>
      <c r="J37" s="489"/>
      <c r="K37" s="491"/>
      <c r="L37" s="497"/>
      <c r="M37" s="490"/>
      <c r="N37" s="490"/>
      <c r="O37" s="490"/>
      <c r="P37" s="491"/>
    </row>
    <row r="38" spans="1:16" ht="12.75">
      <c r="A38" s="606">
        <v>20</v>
      </c>
      <c r="B38" s="489"/>
      <c r="C38" s="612" t="s">
        <v>449</v>
      </c>
      <c r="D38" s="608" t="s">
        <v>430</v>
      </c>
      <c r="E38" s="611">
        <v>14</v>
      </c>
      <c r="F38" s="492"/>
      <c r="G38" s="489"/>
      <c r="H38" s="489"/>
      <c r="I38" s="489"/>
      <c r="J38" s="489"/>
      <c r="K38" s="491"/>
      <c r="L38" s="497"/>
      <c r="M38" s="490"/>
      <c r="N38" s="490"/>
      <c r="O38" s="490"/>
      <c r="P38" s="491"/>
    </row>
    <row r="39" spans="1:16" ht="12.75">
      <c r="A39" s="606">
        <v>21</v>
      </c>
      <c r="B39" s="489"/>
      <c r="C39" s="612" t="s">
        <v>450</v>
      </c>
      <c r="D39" s="608" t="s">
        <v>430</v>
      </c>
      <c r="E39" s="609">
        <v>15</v>
      </c>
      <c r="F39" s="492"/>
      <c r="G39" s="489"/>
      <c r="H39" s="489"/>
      <c r="I39" s="489"/>
      <c r="J39" s="489"/>
      <c r="K39" s="491"/>
      <c r="L39" s="497"/>
      <c r="M39" s="490"/>
      <c r="N39" s="490"/>
      <c r="O39" s="490"/>
      <c r="P39" s="491"/>
    </row>
    <row r="40" spans="1:16" ht="12.75">
      <c r="A40" s="606">
        <v>22</v>
      </c>
      <c r="B40" s="489"/>
      <c r="C40" s="612" t="s">
        <v>451</v>
      </c>
      <c r="D40" s="608" t="s">
        <v>430</v>
      </c>
      <c r="E40" s="609">
        <v>4</v>
      </c>
      <c r="F40" s="492"/>
      <c r="G40" s="489"/>
      <c r="H40" s="489"/>
      <c r="I40" s="489"/>
      <c r="J40" s="489"/>
      <c r="K40" s="491"/>
      <c r="L40" s="497"/>
      <c r="M40" s="490"/>
      <c r="N40" s="490"/>
      <c r="O40" s="490"/>
      <c r="P40" s="491"/>
    </row>
    <row r="41" spans="1:16" ht="12.75">
      <c r="A41" s="606">
        <v>23</v>
      </c>
      <c r="B41" s="489"/>
      <c r="C41" s="612" t="s">
        <v>452</v>
      </c>
      <c r="D41" s="613" t="s">
        <v>430</v>
      </c>
      <c r="E41" s="611">
        <v>9</v>
      </c>
      <c r="F41" s="492"/>
      <c r="G41" s="489"/>
      <c r="H41" s="489"/>
      <c r="I41" s="489"/>
      <c r="J41" s="489"/>
      <c r="K41" s="491"/>
      <c r="L41" s="497"/>
      <c r="M41" s="490"/>
      <c r="N41" s="490"/>
      <c r="O41" s="490"/>
      <c r="P41" s="491"/>
    </row>
    <row r="42" spans="1:16" ht="12.75">
      <c r="A42" s="606">
        <v>24</v>
      </c>
      <c r="B42" s="489"/>
      <c r="C42" s="612" t="s">
        <v>453</v>
      </c>
      <c r="D42" s="608" t="s">
        <v>430</v>
      </c>
      <c r="E42" s="611">
        <v>2</v>
      </c>
      <c r="F42" s="492"/>
      <c r="G42" s="489"/>
      <c r="H42" s="489"/>
      <c r="I42" s="489"/>
      <c r="J42" s="489"/>
      <c r="K42" s="491"/>
      <c r="L42" s="497"/>
      <c r="M42" s="490"/>
      <c r="N42" s="490"/>
      <c r="O42" s="490"/>
      <c r="P42" s="491"/>
    </row>
    <row r="43" spans="1:16" ht="12.75">
      <c r="A43" s="606">
        <v>25</v>
      </c>
      <c r="B43" s="489"/>
      <c r="C43" s="612" t="s">
        <v>454</v>
      </c>
      <c r="D43" s="608" t="s">
        <v>430</v>
      </c>
      <c r="E43" s="611">
        <v>3</v>
      </c>
      <c r="F43" s="492"/>
      <c r="G43" s="489"/>
      <c r="H43" s="489"/>
      <c r="I43" s="489"/>
      <c r="J43" s="489"/>
      <c r="K43" s="491"/>
      <c r="L43" s="497"/>
      <c r="M43" s="490"/>
      <c r="N43" s="490"/>
      <c r="O43" s="490"/>
      <c r="P43" s="491"/>
    </row>
    <row r="44" spans="1:16" ht="12.75">
      <c r="A44" s="606">
        <v>26</v>
      </c>
      <c r="B44" s="489"/>
      <c r="C44" s="612" t="s">
        <v>455</v>
      </c>
      <c r="D44" s="608" t="s">
        <v>430</v>
      </c>
      <c r="E44" s="611">
        <v>13</v>
      </c>
      <c r="F44" s="492"/>
      <c r="G44" s="489"/>
      <c r="H44" s="489"/>
      <c r="I44" s="489"/>
      <c r="J44" s="489"/>
      <c r="K44" s="491"/>
      <c r="L44" s="497"/>
      <c r="M44" s="490"/>
      <c r="N44" s="490"/>
      <c r="O44" s="490"/>
      <c r="P44" s="491"/>
    </row>
    <row r="45" spans="1:16" ht="25.5">
      <c r="A45" s="606">
        <v>27</v>
      </c>
      <c r="B45" s="489"/>
      <c r="C45" s="614" t="s">
        <v>456</v>
      </c>
      <c r="D45" s="608" t="s">
        <v>430</v>
      </c>
      <c r="E45" s="609">
        <v>3</v>
      </c>
      <c r="F45" s="492"/>
      <c r="G45" s="489"/>
      <c r="H45" s="489"/>
      <c r="I45" s="489"/>
      <c r="J45" s="489"/>
      <c r="K45" s="491"/>
      <c r="L45" s="497"/>
      <c r="M45" s="490"/>
      <c r="N45" s="490"/>
      <c r="O45" s="490"/>
      <c r="P45" s="491"/>
    </row>
    <row r="46" spans="1:16" ht="25.5">
      <c r="A46" s="606">
        <v>28</v>
      </c>
      <c r="B46" s="489"/>
      <c r="C46" s="614" t="s">
        <v>457</v>
      </c>
      <c r="D46" s="608" t="s">
        <v>430</v>
      </c>
      <c r="E46" s="609">
        <v>5</v>
      </c>
      <c r="F46" s="492"/>
      <c r="G46" s="489"/>
      <c r="H46" s="489"/>
      <c r="I46" s="489"/>
      <c r="J46" s="489"/>
      <c r="K46" s="491"/>
      <c r="L46" s="497"/>
      <c r="M46" s="490"/>
      <c r="N46" s="490"/>
      <c r="O46" s="490"/>
      <c r="P46" s="491"/>
    </row>
    <row r="47" spans="1:16" ht="25.5">
      <c r="A47" s="606">
        <v>29</v>
      </c>
      <c r="B47" s="489"/>
      <c r="C47" s="614" t="s">
        <v>458</v>
      </c>
      <c r="D47" s="608" t="s">
        <v>430</v>
      </c>
      <c r="E47" s="609">
        <v>9</v>
      </c>
      <c r="F47" s="492"/>
      <c r="G47" s="489"/>
      <c r="H47" s="489"/>
      <c r="I47" s="489"/>
      <c r="J47" s="489"/>
      <c r="K47" s="491"/>
      <c r="L47" s="497"/>
      <c r="M47" s="490"/>
      <c r="N47" s="490"/>
      <c r="O47" s="490"/>
      <c r="P47" s="491"/>
    </row>
    <row r="48" spans="1:16" ht="25.5">
      <c r="A48" s="606">
        <v>30</v>
      </c>
      <c r="B48" s="489"/>
      <c r="C48" s="614" t="s">
        <v>459</v>
      </c>
      <c r="D48" s="608" t="s">
        <v>430</v>
      </c>
      <c r="E48" s="609">
        <v>41</v>
      </c>
      <c r="F48" s="492"/>
      <c r="G48" s="489"/>
      <c r="H48" s="489"/>
      <c r="I48" s="489"/>
      <c r="J48" s="489"/>
      <c r="K48" s="491"/>
      <c r="L48" s="497"/>
      <c r="M48" s="490"/>
      <c r="N48" s="490"/>
      <c r="O48" s="490"/>
      <c r="P48" s="491"/>
    </row>
    <row r="49" spans="1:16" ht="12.75">
      <c r="A49" s="606">
        <v>31</v>
      </c>
      <c r="B49" s="489"/>
      <c r="C49" s="614" t="s">
        <v>460</v>
      </c>
      <c r="D49" s="608" t="s">
        <v>430</v>
      </c>
      <c r="E49" s="609">
        <v>5</v>
      </c>
      <c r="F49" s="492"/>
      <c r="G49" s="489"/>
      <c r="H49" s="489"/>
      <c r="I49" s="489"/>
      <c r="J49" s="489"/>
      <c r="K49" s="491"/>
      <c r="L49" s="497"/>
      <c r="M49" s="490"/>
      <c r="N49" s="490"/>
      <c r="O49" s="490"/>
      <c r="P49" s="491"/>
    </row>
    <row r="50" spans="1:16" ht="12.75">
      <c r="A50" s="606">
        <v>32</v>
      </c>
      <c r="B50" s="489"/>
      <c r="C50" s="614" t="s">
        <v>461</v>
      </c>
      <c r="D50" s="608" t="s">
        <v>430</v>
      </c>
      <c r="E50" s="609">
        <v>40</v>
      </c>
      <c r="F50" s="492"/>
      <c r="G50" s="489"/>
      <c r="H50" s="489"/>
      <c r="I50" s="489"/>
      <c r="J50" s="489"/>
      <c r="K50" s="491"/>
      <c r="L50" s="497"/>
      <c r="M50" s="490"/>
      <c r="N50" s="490"/>
      <c r="O50" s="490"/>
      <c r="P50" s="491"/>
    </row>
    <row r="51" spans="1:16" ht="12.75">
      <c r="A51" s="606">
        <v>33</v>
      </c>
      <c r="B51" s="489"/>
      <c r="C51" s="614" t="s">
        <v>462</v>
      </c>
      <c r="D51" s="608" t="s">
        <v>430</v>
      </c>
      <c r="E51" s="609">
        <v>20</v>
      </c>
      <c r="F51" s="492"/>
      <c r="G51" s="489"/>
      <c r="H51" s="489"/>
      <c r="I51" s="489"/>
      <c r="J51" s="489"/>
      <c r="K51" s="491"/>
      <c r="L51" s="497"/>
      <c r="M51" s="490"/>
      <c r="N51" s="490"/>
      <c r="O51" s="490"/>
      <c r="P51" s="491"/>
    </row>
    <row r="52" spans="1:16" ht="12.75">
      <c r="A52" s="606">
        <v>34</v>
      </c>
      <c r="B52" s="489"/>
      <c r="C52" s="614" t="s">
        <v>463</v>
      </c>
      <c r="D52" s="608" t="s">
        <v>430</v>
      </c>
      <c r="E52" s="609">
        <v>46</v>
      </c>
      <c r="F52" s="492"/>
      <c r="G52" s="489"/>
      <c r="H52" s="489"/>
      <c r="I52" s="489"/>
      <c r="J52" s="489"/>
      <c r="K52" s="491"/>
      <c r="L52" s="497"/>
      <c r="M52" s="490"/>
      <c r="N52" s="490"/>
      <c r="O52" s="490"/>
      <c r="P52" s="491"/>
    </row>
    <row r="53" spans="1:16" ht="12.75">
      <c r="A53" s="606">
        <v>35</v>
      </c>
      <c r="B53" s="489"/>
      <c r="C53" s="614" t="s">
        <v>464</v>
      </c>
      <c r="D53" s="608" t="s">
        <v>74</v>
      </c>
      <c r="E53" s="609">
        <v>1100</v>
      </c>
      <c r="F53" s="492"/>
      <c r="G53" s="489"/>
      <c r="H53" s="489"/>
      <c r="I53" s="489"/>
      <c r="J53" s="489"/>
      <c r="K53" s="491"/>
      <c r="L53" s="497"/>
      <c r="M53" s="490"/>
      <c r="N53" s="490"/>
      <c r="O53" s="490"/>
      <c r="P53" s="491"/>
    </row>
    <row r="54" spans="1:16" ht="12.75">
      <c r="A54" s="606">
        <v>36</v>
      </c>
      <c r="B54" s="489"/>
      <c r="C54" s="614" t="s">
        <v>465</v>
      </c>
      <c r="D54" s="608" t="s">
        <v>74</v>
      </c>
      <c r="E54" s="609">
        <v>1350</v>
      </c>
      <c r="F54" s="492"/>
      <c r="G54" s="489"/>
      <c r="H54" s="489"/>
      <c r="I54" s="489"/>
      <c r="J54" s="489"/>
      <c r="K54" s="491"/>
      <c r="L54" s="497"/>
      <c r="M54" s="490"/>
      <c r="N54" s="490"/>
      <c r="O54" s="490"/>
      <c r="P54" s="491"/>
    </row>
    <row r="55" spans="1:16" ht="12.75">
      <c r="A55" s="606">
        <v>37</v>
      </c>
      <c r="B55" s="489"/>
      <c r="C55" s="615" t="s">
        <v>466</v>
      </c>
      <c r="D55" s="616" t="s">
        <v>74</v>
      </c>
      <c r="E55" s="609">
        <v>25</v>
      </c>
      <c r="F55" s="492"/>
      <c r="G55" s="489"/>
      <c r="H55" s="489"/>
      <c r="I55" s="489"/>
      <c r="J55" s="489"/>
      <c r="K55" s="491"/>
      <c r="L55" s="497"/>
      <c r="M55" s="490"/>
      <c r="N55" s="490"/>
      <c r="O55" s="490"/>
      <c r="P55" s="491"/>
    </row>
    <row r="56" spans="1:16" ht="12.75">
      <c r="A56" s="606">
        <v>38</v>
      </c>
      <c r="B56" s="489"/>
      <c r="C56" s="615" t="s">
        <v>467</v>
      </c>
      <c r="D56" s="616" t="s">
        <v>74</v>
      </c>
      <c r="E56" s="609">
        <v>175</v>
      </c>
      <c r="F56" s="492"/>
      <c r="G56" s="489"/>
      <c r="H56" s="489"/>
      <c r="I56" s="489"/>
      <c r="J56" s="489"/>
      <c r="K56" s="491"/>
      <c r="L56" s="497"/>
      <c r="M56" s="490"/>
      <c r="N56" s="490"/>
      <c r="O56" s="490"/>
      <c r="P56" s="491"/>
    </row>
    <row r="57" spans="1:16" ht="12.75">
      <c r="A57" s="606">
        <v>39</v>
      </c>
      <c r="B57" s="489"/>
      <c r="C57" s="615" t="s">
        <v>468</v>
      </c>
      <c r="D57" s="616" t="s">
        <v>74</v>
      </c>
      <c r="E57" s="609">
        <v>25</v>
      </c>
      <c r="F57" s="492"/>
      <c r="G57" s="489"/>
      <c r="H57" s="489"/>
      <c r="I57" s="489"/>
      <c r="J57" s="489"/>
      <c r="K57" s="491"/>
      <c r="L57" s="497"/>
      <c r="M57" s="490"/>
      <c r="N57" s="490"/>
      <c r="O57" s="490"/>
      <c r="P57" s="491"/>
    </row>
    <row r="58" spans="1:16" ht="12.75">
      <c r="A58" s="606">
        <v>40</v>
      </c>
      <c r="B58" s="489"/>
      <c r="C58" s="617" t="s">
        <v>469</v>
      </c>
      <c r="D58" s="618" t="s">
        <v>74</v>
      </c>
      <c r="E58" s="619">
        <v>30</v>
      </c>
      <c r="F58" s="492"/>
      <c r="G58" s="489"/>
      <c r="H58" s="489"/>
      <c r="I58" s="489"/>
      <c r="J58" s="489"/>
      <c r="K58" s="491"/>
      <c r="L58" s="497"/>
      <c r="M58" s="490"/>
      <c r="N58" s="490"/>
      <c r="O58" s="490"/>
      <c r="P58" s="491"/>
    </row>
    <row r="59" spans="1:16" ht="25.5">
      <c r="A59" s="606">
        <v>41</v>
      </c>
      <c r="B59" s="489"/>
      <c r="C59" s="617" t="s">
        <v>470</v>
      </c>
      <c r="D59" s="618" t="s">
        <v>74</v>
      </c>
      <c r="E59" s="619">
        <v>20</v>
      </c>
      <c r="F59" s="492"/>
      <c r="G59" s="489"/>
      <c r="H59" s="489"/>
      <c r="I59" s="489"/>
      <c r="J59" s="489"/>
      <c r="K59" s="491"/>
      <c r="L59" s="497"/>
      <c r="M59" s="490"/>
      <c r="N59" s="490"/>
      <c r="O59" s="490"/>
      <c r="P59" s="491"/>
    </row>
    <row r="60" spans="1:16" ht="12.75">
      <c r="A60" s="606">
        <v>42</v>
      </c>
      <c r="B60" s="489"/>
      <c r="C60" s="620" t="s">
        <v>146</v>
      </c>
      <c r="D60" s="608" t="s">
        <v>0</v>
      </c>
      <c r="E60" s="621">
        <v>1</v>
      </c>
      <c r="F60" s="492"/>
      <c r="G60" s="489"/>
      <c r="H60" s="489"/>
      <c r="I60" s="489"/>
      <c r="J60" s="489"/>
      <c r="K60" s="491"/>
      <c r="L60" s="497"/>
      <c r="M60" s="490"/>
      <c r="N60" s="490"/>
      <c r="O60" s="490"/>
      <c r="P60" s="491"/>
    </row>
    <row r="61" spans="1:16" ht="12.75">
      <c r="A61" s="606">
        <v>43</v>
      </c>
      <c r="B61" s="489"/>
      <c r="C61" s="610" t="s">
        <v>471</v>
      </c>
      <c r="D61" s="608" t="s">
        <v>0</v>
      </c>
      <c r="E61" s="609">
        <v>1</v>
      </c>
      <c r="F61" s="492"/>
      <c r="G61" s="489"/>
      <c r="H61" s="489"/>
      <c r="I61" s="489"/>
      <c r="J61" s="489"/>
      <c r="K61" s="491"/>
      <c r="L61" s="497"/>
      <c r="M61" s="490"/>
      <c r="N61" s="490"/>
      <c r="O61" s="490"/>
      <c r="P61" s="491"/>
    </row>
    <row r="62" spans="1:16" ht="12.75">
      <c r="A62" s="606">
        <v>44</v>
      </c>
      <c r="B62" s="489"/>
      <c r="C62" s="622" t="s">
        <v>472</v>
      </c>
      <c r="D62" s="623" t="s">
        <v>0</v>
      </c>
      <c r="E62" s="624">
        <v>2</v>
      </c>
      <c r="F62" s="492"/>
      <c r="G62" s="489"/>
      <c r="H62" s="489"/>
      <c r="I62" s="489"/>
      <c r="J62" s="489"/>
      <c r="K62" s="491"/>
      <c r="L62" s="497"/>
      <c r="M62" s="490"/>
      <c r="N62" s="490"/>
      <c r="O62" s="490"/>
      <c r="P62" s="491"/>
    </row>
    <row r="63" spans="1:16" ht="12.75">
      <c r="A63" s="606">
        <v>45</v>
      </c>
      <c r="B63" s="489"/>
      <c r="C63" s="622" t="s">
        <v>473</v>
      </c>
      <c r="D63" s="623" t="s">
        <v>76</v>
      </c>
      <c r="E63" s="624">
        <v>2</v>
      </c>
      <c r="F63" s="492"/>
      <c r="G63" s="489"/>
      <c r="H63" s="489"/>
      <c r="I63" s="489"/>
      <c r="J63" s="489"/>
      <c r="K63" s="491"/>
      <c r="L63" s="497"/>
      <c r="M63" s="490"/>
      <c r="N63" s="490"/>
      <c r="O63" s="490"/>
      <c r="P63" s="491"/>
    </row>
    <row r="64" spans="1:16" ht="25.5">
      <c r="A64" s="606">
        <v>46</v>
      </c>
      <c r="B64" s="489"/>
      <c r="C64" s="622" t="s">
        <v>474</v>
      </c>
      <c r="D64" s="623" t="s">
        <v>76</v>
      </c>
      <c r="E64" s="624">
        <v>1</v>
      </c>
      <c r="F64" s="492"/>
      <c r="G64" s="489"/>
      <c r="H64" s="489"/>
      <c r="I64" s="489"/>
      <c r="J64" s="489"/>
      <c r="K64" s="491"/>
      <c r="L64" s="497"/>
      <c r="M64" s="490"/>
      <c r="N64" s="490"/>
      <c r="O64" s="490"/>
      <c r="P64" s="491"/>
    </row>
    <row r="65" spans="1:16" ht="12.75">
      <c r="A65" s="606">
        <v>47</v>
      </c>
      <c r="B65" s="489"/>
      <c r="C65" s="622" t="s">
        <v>475</v>
      </c>
      <c r="D65" s="623" t="s">
        <v>74</v>
      </c>
      <c r="E65" s="624">
        <v>90</v>
      </c>
      <c r="F65" s="492"/>
      <c r="G65" s="489"/>
      <c r="H65" s="489"/>
      <c r="I65" s="489"/>
      <c r="J65" s="489"/>
      <c r="K65" s="491"/>
      <c r="L65" s="497"/>
      <c r="M65" s="490"/>
      <c r="N65" s="490"/>
      <c r="O65" s="490"/>
      <c r="P65" s="491"/>
    </row>
    <row r="66" spans="1:16" ht="12.75">
      <c r="A66" s="606">
        <v>48</v>
      </c>
      <c r="B66" s="489"/>
      <c r="C66" s="622" t="s">
        <v>476</v>
      </c>
      <c r="D66" s="623" t="s">
        <v>74</v>
      </c>
      <c r="E66" s="624">
        <v>12</v>
      </c>
      <c r="F66" s="492"/>
      <c r="G66" s="489"/>
      <c r="H66" s="489"/>
      <c r="I66" s="489"/>
      <c r="J66" s="489"/>
      <c r="K66" s="491"/>
      <c r="L66" s="497"/>
      <c r="M66" s="490"/>
      <c r="N66" s="490"/>
      <c r="O66" s="490"/>
      <c r="P66" s="491"/>
    </row>
    <row r="67" spans="1:16" ht="38.25">
      <c r="A67" s="606">
        <v>49</v>
      </c>
      <c r="B67" s="489"/>
      <c r="C67" s="622" t="s">
        <v>477</v>
      </c>
      <c r="D67" s="623" t="s">
        <v>76</v>
      </c>
      <c r="E67" s="624">
        <v>50</v>
      </c>
      <c r="F67" s="492"/>
      <c r="G67" s="489"/>
      <c r="H67" s="489"/>
      <c r="I67" s="489"/>
      <c r="J67" s="489"/>
      <c r="K67" s="491"/>
      <c r="L67" s="497"/>
      <c r="M67" s="490"/>
      <c r="N67" s="490"/>
      <c r="O67" s="490"/>
      <c r="P67" s="491"/>
    </row>
    <row r="68" spans="1:16" ht="38.25">
      <c r="A68" s="606">
        <v>50</v>
      </c>
      <c r="B68" s="489"/>
      <c r="C68" s="622" t="s">
        <v>478</v>
      </c>
      <c r="D68" s="623" t="s">
        <v>76</v>
      </c>
      <c r="E68" s="624">
        <v>20</v>
      </c>
      <c r="F68" s="492"/>
      <c r="G68" s="489"/>
      <c r="H68" s="489"/>
      <c r="I68" s="489"/>
      <c r="J68" s="489"/>
      <c r="K68" s="491"/>
      <c r="L68" s="497"/>
      <c r="M68" s="490"/>
      <c r="N68" s="490"/>
      <c r="O68" s="490"/>
      <c r="P68" s="491"/>
    </row>
    <row r="69" spans="1:16" ht="12.75">
      <c r="A69" s="606">
        <v>51</v>
      </c>
      <c r="B69" s="489"/>
      <c r="C69" s="622" t="s">
        <v>479</v>
      </c>
      <c r="D69" s="623" t="s">
        <v>76</v>
      </c>
      <c r="E69" s="624">
        <v>8</v>
      </c>
      <c r="F69" s="492"/>
      <c r="G69" s="489"/>
      <c r="H69" s="489"/>
      <c r="I69" s="489"/>
      <c r="J69" s="489"/>
      <c r="K69" s="491"/>
      <c r="L69" s="497"/>
      <c r="M69" s="490"/>
      <c r="N69" s="490"/>
      <c r="O69" s="490"/>
      <c r="P69" s="491"/>
    </row>
    <row r="70" spans="1:16" ht="12.75">
      <c r="A70" s="606">
        <v>52</v>
      </c>
      <c r="B70" s="489"/>
      <c r="C70" s="622" t="s">
        <v>480</v>
      </c>
      <c r="D70" s="623" t="s">
        <v>76</v>
      </c>
      <c r="E70" s="624">
        <v>4</v>
      </c>
      <c r="F70" s="492"/>
      <c r="G70" s="489"/>
      <c r="H70" s="489"/>
      <c r="I70" s="489"/>
      <c r="J70" s="489"/>
      <c r="K70" s="491"/>
      <c r="L70" s="497"/>
      <c r="M70" s="490"/>
      <c r="N70" s="490"/>
      <c r="O70" s="490"/>
      <c r="P70" s="491"/>
    </row>
    <row r="71" spans="1:16" ht="38.25">
      <c r="A71" s="606">
        <v>53</v>
      </c>
      <c r="B71" s="489"/>
      <c r="C71" s="622" t="s">
        <v>481</v>
      </c>
      <c r="D71" s="623" t="s">
        <v>76</v>
      </c>
      <c r="E71" s="624">
        <v>2</v>
      </c>
      <c r="F71" s="492"/>
      <c r="G71" s="489"/>
      <c r="H71" s="489"/>
      <c r="I71" s="489"/>
      <c r="J71" s="489"/>
      <c r="K71" s="491"/>
      <c r="L71" s="497"/>
      <c r="M71" s="490"/>
      <c r="N71" s="490"/>
      <c r="O71" s="490"/>
      <c r="P71" s="491"/>
    </row>
    <row r="72" spans="1:16" ht="25.5">
      <c r="A72" s="606">
        <v>54</v>
      </c>
      <c r="B72" s="489"/>
      <c r="C72" s="622" t="s">
        <v>482</v>
      </c>
      <c r="D72" s="623" t="s">
        <v>76</v>
      </c>
      <c r="E72" s="624">
        <v>4</v>
      </c>
      <c r="F72" s="492"/>
      <c r="G72" s="489"/>
      <c r="H72" s="489"/>
      <c r="I72" s="489"/>
      <c r="J72" s="489"/>
      <c r="K72" s="491"/>
      <c r="L72" s="497"/>
      <c r="M72" s="490"/>
      <c r="N72" s="490"/>
      <c r="O72" s="490"/>
      <c r="P72" s="491"/>
    </row>
    <row r="73" spans="1:16" ht="12.75">
      <c r="A73" s="606">
        <v>55</v>
      </c>
      <c r="B73" s="489"/>
      <c r="C73" s="622" t="s">
        <v>483</v>
      </c>
      <c r="D73" s="623" t="s">
        <v>76</v>
      </c>
      <c r="E73" s="624">
        <v>4</v>
      </c>
      <c r="F73" s="492"/>
      <c r="G73" s="489"/>
      <c r="H73" s="489"/>
      <c r="I73" s="489"/>
      <c r="J73" s="489"/>
      <c r="K73" s="491"/>
      <c r="L73" s="497"/>
      <c r="M73" s="490"/>
      <c r="N73" s="490"/>
      <c r="O73" s="490"/>
      <c r="P73" s="491"/>
    </row>
    <row r="74" spans="1:16" ht="12.75">
      <c r="A74" s="606">
        <v>56</v>
      </c>
      <c r="B74" s="489"/>
      <c r="C74" s="625" t="s">
        <v>484</v>
      </c>
      <c r="D74" s="623" t="s">
        <v>76</v>
      </c>
      <c r="E74" s="624">
        <v>8</v>
      </c>
      <c r="F74" s="492"/>
      <c r="G74" s="489"/>
      <c r="H74" s="489"/>
      <c r="I74" s="489"/>
      <c r="J74" s="489"/>
      <c r="K74" s="491"/>
      <c r="L74" s="497"/>
      <c r="M74" s="490"/>
      <c r="N74" s="490"/>
      <c r="O74" s="490"/>
      <c r="P74" s="491"/>
    </row>
    <row r="75" spans="1:16" ht="12.75">
      <c r="A75" s="606">
        <v>57</v>
      </c>
      <c r="B75" s="489"/>
      <c r="C75" s="625" t="s">
        <v>485</v>
      </c>
      <c r="D75" s="623" t="s">
        <v>74</v>
      </c>
      <c r="E75" s="624">
        <v>4</v>
      </c>
      <c r="F75" s="492"/>
      <c r="G75" s="489"/>
      <c r="H75" s="489"/>
      <c r="I75" s="489"/>
      <c r="J75" s="489"/>
      <c r="K75" s="491"/>
      <c r="L75" s="497"/>
      <c r="M75" s="490"/>
      <c r="N75" s="490"/>
      <c r="O75" s="490"/>
      <c r="P75" s="491"/>
    </row>
    <row r="76" spans="1:16" ht="25.5">
      <c r="A76" s="606">
        <v>58</v>
      </c>
      <c r="B76" s="489"/>
      <c r="C76" s="622" t="s">
        <v>486</v>
      </c>
      <c r="D76" s="623" t="s">
        <v>76</v>
      </c>
      <c r="E76" s="624">
        <v>4</v>
      </c>
      <c r="F76" s="492"/>
      <c r="G76" s="489"/>
      <c r="H76" s="489"/>
      <c r="I76" s="489"/>
      <c r="J76" s="489"/>
      <c r="K76" s="491"/>
      <c r="L76" s="497"/>
      <c r="M76" s="490"/>
      <c r="N76" s="490"/>
      <c r="O76" s="490"/>
      <c r="P76" s="491"/>
    </row>
    <row r="77" spans="1:16" ht="12.75">
      <c r="A77" s="606">
        <v>59</v>
      </c>
      <c r="B77" s="489"/>
      <c r="C77" s="622" t="s">
        <v>487</v>
      </c>
      <c r="D77" s="623" t="s">
        <v>74</v>
      </c>
      <c r="E77" s="624">
        <v>10</v>
      </c>
      <c r="F77" s="492"/>
      <c r="G77" s="489"/>
      <c r="H77" s="489"/>
      <c r="I77" s="489"/>
      <c r="J77" s="489"/>
      <c r="K77" s="491"/>
      <c r="L77" s="497"/>
      <c r="M77" s="490"/>
      <c r="N77" s="490"/>
      <c r="O77" s="490"/>
      <c r="P77" s="491"/>
    </row>
    <row r="78" spans="1:16" ht="12.75">
      <c r="A78" s="606">
        <v>60</v>
      </c>
      <c r="B78" s="489"/>
      <c r="C78" s="622" t="s">
        <v>488</v>
      </c>
      <c r="D78" s="623" t="s">
        <v>76</v>
      </c>
      <c r="E78" s="624">
        <v>1</v>
      </c>
      <c r="F78" s="492"/>
      <c r="G78" s="489"/>
      <c r="H78" s="489"/>
      <c r="I78" s="489"/>
      <c r="J78" s="489"/>
      <c r="K78" s="491"/>
      <c r="L78" s="497"/>
      <c r="M78" s="490"/>
      <c r="N78" s="490"/>
      <c r="O78" s="490"/>
      <c r="P78" s="491"/>
    </row>
    <row r="79" spans="1:16" ht="12.75">
      <c r="A79" s="606">
        <v>61</v>
      </c>
      <c r="B79" s="489"/>
      <c r="C79" s="626" t="s">
        <v>489</v>
      </c>
      <c r="D79" s="627" t="s">
        <v>74</v>
      </c>
      <c r="E79" s="628">
        <v>70</v>
      </c>
      <c r="F79" s="492"/>
      <c r="G79" s="489"/>
      <c r="H79" s="489"/>
      <c r="I79" s="489"/>
      <c r="J79" s="489"/>
      <c r="K79" s="491"/>
      <c r="L79" s="497"/>
      <c r="M79" s="490"/>
      <c r="N79" s="490"/>
      <c r="O79" s="490"/>
      <c r="P79" s="491"/>
    </row>
    <row r="80" spans="1:16" ht="12.75">
      <c r="A80" s="606">
        <v>62</v>
      </c>
      <c r="B80" s="489"/>
      <c r="C80" s="622" t="s">
        <v>146</v>
      </c>
      <c r="D80" s="623" t="s">
        <v>0</v>
      </c>
      <c r="E80" s="623">
        <v>1</v>
      </c>
      <c r="F80" s="492"/>
      <c r="G80" s="489"/>
      <c r="H80" s="489"/>
      <c r="I80" s="489"/>
      <c r="J80" s="489"/>
      <c r="K80" s="491"/>
      <c r="L80" s="497"/>
      <c r="M80" s="490"/>
      <c r="N80" s="490"/>
      <c r="O80" s="490"/>
      <c r="P80" s="491"/>
    </row>
    <row r="81" spans="1:16" ht="25.5">
      <c r="A81" s="606">
        <v>63</v>
      </c>
      <c r="B81" s="489"/>
      <c r="C81" s="622" t="s">
        <v>490</v>
      </c>
      <c r="D81" s="627" t="s">
        <v>74</v>
      </c>
      <c r="E81" s="623">
        <v>92</v>
      </c>
      <c r="F81" s="492"/>
      <c r="G81" s="489"/>
      <c r="H81" s="489"/>
      <c r="I81" s="489"/>
      <c r="J81" s="489"/>
      <c r="K81" s="491"/>
      <c r="L81" s="497"/>
      <c r="M81" s="490"/>
      <c r="N81" s="490"/>
      <c r="O81" s="490"/>
      <c r="P81" s="491"/>
    </row>
    <row r="82" spans="1:16" ht="12.75">
      <c r="A82" s="606">
        <v>64</v>
      </c>
      <c r="B82" s="489"/>
      <c r="C82" s="622" t="s">
        <v>491</v>
      </c>
      <c r="D82" s="627" t="s">
        <v>74</v>
      </c>
      <c r="E82" s="623">
        <v>20</v>
      </c>
      <c r="F82" s="492"/>
      <c r="G82" s="489"/>
      <c r="H82" s="489"/>
      <c r="I82" s="489"/>
      <c r="J82" s="489"/>
      <c r="K82" s="491"/>
      <c r="L82" s="497"/>
      <c r="M82" s="490"/>
      <c r="N82" s="490"/>
      <c r="O82" s="490"/>
      <c r="P82" s="491"/>
    </row>
    <row r="83" spans="1:16" ht="25.5">
      <c r="A83" s="606">
        <v>65</v>
      </c>
      <c r="B83" s="489"/>
      <c r="C83" s="622" t="s">
        <v>492</v>
      </c>
      <c r="D83" s="623" t="s">
        <v>0</v>
      </c>
      <c r="E83" s="623">
        <v>1</v>
      </c>
      <c r="F83" s="492"/>
      <c r="G83" s="489"/>
      <c r="H83" s="489"/>
      <c r="I83" s="489"/>
      <c r="J83" s="489"/>
      <c r="K83" s="491"/>
      <c r="L83" s="497"/>
      <c r="M83" s="490"/>
      <c r="N83" s="490"/>
      <c r="O83" s="490"/>
      <c r="P83" s="491"/>
    </row>
    <row r="84" spans="1:16" ht="12" thickBot="1">
      <c r="A84" s="500"/>
      <c r="B84" s="501"/>
      <c r="C84" s="502"/>
      <c r="D84" s="503"/>
      <c r="E84" s="504"/>
      <c r="F84" s="493"/>
      <c r="G84" s="494"/>
      <c r="H84" s="494"/>
      <c r="I84" s="494"/>
      <c r="J84" s="494"/>
      <c r="K84" s="495"/>
      <c r="L84" s="498"/>
      <c r="M84" s="499"/>
      <c r="N84" s="499"/>
      <c r="O84" s="499"/>
      <c r="P84" s="495"/>
    </row>
    <row r="85" spans="1:16" ht="12" thickBot="1">
      <c r="A85" s="587" t="s">
        <v>5</v>
      </c>
      <c r="B85" s="588"/>
      <c r="C85" s="588"/>
      <c r="D85" s="588"/>
      <c r="E85" s="588"/>
      <c r="F85" s="588"/>
      <c r="G85" s="588"/>
      <c r="H85" s="588"/>
      <c r="I85" s="588"/>
      <c r="J85" s="588"/>
      <c r="K85" s="589"/>
      <c r="L85" s="233">
        <f>SUM(L18:L84)</f>
        <v>0</v>
      </c>
      <c r="M85" s="234">
        <f>SUM(M18:M84)</f>
        <v>0</v>
      </c>
      <c r="N85" s="235">
        <f>SUM(N19:N84)</f>
        <v>0</v>
      </c>
      <c r="O85" s="235">
        <f>SUM(O19:O84)</f>
        <v>0</v>
      </c>
      <c r="P85" s="236">
        <f>SUM(P19:P84)</f>
        <v>0</v>
      </c>
    </row>
    <row r="86" spans="1:16" ht="12" thickBot="1">
      <c r="A86" s="590" t="s">
        <v>150</v>
      </c>
      <c r="B86" s="591"/>
      <c r="C86" s="591"/>
      <c r="D86" s="591"/>
      <c r="E86" s="591"/>
      <c r="F86" s="591"/>
      <c r="G86" s="591"/>
      <c r="H86" s="591"/>
      <c r="I86" s="591"/>
      <c r="J86" s="591"/>
      <c r="K86" s="592"/>
      <c r="L86" s="237"/>
      <c r="M86" s="238"/>
      <c r="N86" s="238"/>
      <c r="O86" s="238"/>
      <c r="P86" s="239"/>
    </row>
    <row r="87" spans="1:16" ht="12" thickBot="1">
      <c r="A87" s="584" t="s">
        <v>5</v>
      </c>
      <c r="B87" s="585"/>
      <c r="C87" s="585"/>
      <c r="D87" s="585"/>
      <c r="E87" s="585"/>
      <c r="F87" s="585"/>
      <c r="G87" s="585"/>
      <c r="H87" s="585"/>
      <c r="I87" s="585"/>
      <c r="J87" s="585"/>
      <c r="K87" s="586"/>
      <c r="L87" s="240">
        <f>SUM(L85:L86)</f>
        <v>0</v>
      </c>
      <c r="M87" s="241">
        <f>SUM(M85:M86)</f>
        <v>0</v>
      </c>
      <c r="N87" s="241">
        <f>SUM(N85:N86)</f>
        <v>0</v>
      </c>
      <c r="O87" s="241">
        <f>SUM(O85:O86)</f>
        <v>0</v>
      </c>
      <c r="P87" s="242">
        <f>SUM(P85:P86)</f>
        <v>0</v>
      </c>
    </row>
    <row r="89" spans="1:16">
      <c r="A89" s="243" t="s">
        <v>172</v>
      </c>
    </row>
    <row r="90" spans="1:16">
      <c r="B90" s="244" t="s">
        <v>173</v>
      </c>
    </row>
    <row r="92" spans="1:16">
      <c r="A92" s="245" t="s">
        <v>424</v>
      </c>
      <c r="B92" s="30"/>
      <c r="H92" s="245" t="s">
        <v>423</v>
      </c>
    </row>
    <row r="93" spans="1:16">
      <c r="F93" s="199"/>
    </row>
  </sheetData>
  <mergeCells count="16">
    <mergeCell ref="A1:P1"/>
    <mergeCell ref="A2:P3"/>
    <mergeCell ref="A5:P5"/>
    <mergeCell ref="A6:P6"/>
    <mergeCell ref="L12:N12"/>
    <mergeCell ref="O12:P12"/>
    <mergeCell ref="L16:P16"/>
    <mergeCell ref="A85:K85"/>
    <mergeCell ref="A86:K86"/>
    <mergeCell ref="A87:K87"/>
    <mergeCell ref="A16:A17"/>
    <mergeCell ref="B16:B17"/>
    <mergeCell ref="C16:C17"/>
    <mergeCell ref="D16:D17"/>
    <mergeCell ref="E16:E17"/>
    <mergeCell ref="F16:K16"/>
  </mergeCells>
  <printOptions horizontalCentered="1"/>
  <pageMargins left="0.19685039370078741" right="0.19685039370078741" top="0.78740157480314965" bottom="0.39370078740157483" header="0.51181102362204722" footer="0.19685039370078741"/>
  <pageSetup paperSize="9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R28" sqref="R28"/>
    </sheetView>
  </sheetViews>
  <sheetFormatPr defaultRowHeight="12.75"/>
  <cols>
    <col min="1" max="1" width="2.5703125" customWidth="1"/>
    <col min="2" max="2" width="6.85546875" customWidth="1"/>
    <col min="3" max="3" width="25.28515625" customWidth="1"/>
    <col min="4" max="4" width="5" customWidth="1"/>
    <col min="5" max="5" width="6.140625" customWidth="1"/>
    <col min="6" max="6" width="6.42578125" customWidth="1"/>
    <col min="7" max="7" width="8.140625" customWidth="1"/>
    <col min="8" max="8" width="7.140625" customWidth="1"/>
    <col min="9" max="9" width="7.7109375" customWidth="1"/>
    <col min="10" max="11" width="7.28515625" customWidth="1"/>
    <col min="12" max="12" width="7.140625" customWidth="1"/>
    <col min="13" max="13" width="8.42578125" customWidth="1"/>
    <col min="15" max="15" width="8.42578125" customWidth="1"/>
    <col min="16" max="16" width="10.28515625" customWidth="1"/>
  </cols>
  <sheetData>
    <row r="1" spans="1:16" ht="18">
      <c r="A1" s="564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</row>
    <row r="3" spans="1:16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</row>
    <row r="4" spans="1:16">
      <c r="A4" s="98"/>
      <c r="B4" s="121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14.25">
      <c r="A5" s="567" t="s">
        <v>406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</row>
    <row r="6" spans="1:16" ht="14.25">
      <c r="A6" s="567" t="str">
        <f>'O1'!B25</f>
        <v>Drenāžas tīkli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</row>
    <row r="7" spans="1:16" ht="14.25">
      <c r="A7" s="505"/>
      <c r="B7" s="103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</row>
    <row r="8" spans="1:16" ht="14.25">
      <c r="A8" s="104" t="s">
        <v>143</v>
      </c>
      <c r="B8" s="105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14.25">
      <c r="A9" s="108" t="s">
        <v>142</v>
      </c>
      <c r="B9" s="105"/>
      <c r="C9" s="109"/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4.25">
      <c r="A10" s="108" t="str">
        <f>'O1'!A8</f>
        <v>Objekta adrese: Liepājas iela 58a, Kuldīga, Kuldīgas novads</v>
      </c>
      <c r="B10" s="105"/>
      <c r="C10" s="109"/>
      <c r="D10" s="110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>
      <c r="A11" s="111"/>
      <c r="B11" s="112"/>
      <c r="C11" s="109"/>
      <c r="D11" s="110"/>
      <c r="E11" s="107"/>
      <c r="F11" s="113"/>
      <c r="G11" s="107"/>
      <c r="H11" s="107"/>
      <c r="I11" s="107"/>
      <c r="J11" s="107"/>
      <c r="K11" s="107"/>
      <c r="L11" s="113"/>
      <c r="M11" s="107"/>
      <c r="N11" s="114"/>
      <c r="O11" s="114"/>
      <c r="P11" s="107"/>
    </row>
    <row r="12" spans="1:16" ht="14.25">
      <c r="A12" s="108" t="s">
        <v>12</v>
      </c>
      <c r="B12" s="112"/>
      <c r="C12" s="109"/>
      <c r="D12" s="110"/>
      <c r="E12" s="107"/>
      <c r="F12" s="113"/>
      <c r="G12" s="107"/>
      <c r="H12" s="107"/>
      <c r="I12" s="107"/>
      <c r="J12" s="107"/>
      <c r="K12" s="107"/>
      <c r="L12" s="568" t="s">
        <v>13</v>
      </c>
      <c r="M12" s="568"/>
      <c r="N12" s="568"/>
      <c r="O12" s="561">
        <f>P33</f>
        <v>0</v>
      </c>
      <c r="P12" s="561"/>
    </row>
    <row r="13" spans="1:16" ht="14.25">
      <c r="A13" s="108" t="s">
        <v>168</v>
      </c>
      <c r="B13" s="112"/>
      <c r="C13" s="109"/>
      <c r="D13" s="110"/>
      <c r="E13" s="107"/>
      <c r="F13" s="113"/>
      <c r="G13" s="107"/>
      <c r="H13" s="107"/>
      <c r="I13" s="107"/>
      <c r="J13" s="107"/>
      <c r="K13" s="107"/>
      <c r="L13" s="104" t="str">
        <f>'O1'!B16</f>
        <v>Tāme sastādīta: 2013. gada 18. martā</v>
      </c>
      <c r="M13" s="107"/>
      <c r="N13" s="114"/>
      <c r="O13" s="114"/>
      <c r="P13" s="107"/>
    </row>
    <row r="14" spans="1:16">
      <c r="A14" s="111"/>
      <c r="B14" s="112"/>
      <c r="C14" s="109"/>
      <c r="D14" s="110"/>
      <c r="E14" s="107"/>
      <c r="F14" s="113"/>
      <c r="G14" s="107"/>
      <c r="H14" s="107"/>
      <c r="I14" s="107"/>
      <c r="J14" s="107"/>
      <c r="K14" s="107"/>
      <c r="L14" s="113"/>
      <c r="M14" s="107"/>
      <c r="N14" s="114"/>
      <c r="O14" s="107"/>
      <c r="P14" s="107"/>
    </row>
    <row r="15" spans="1:16" ht="13.5" thickBot="1">
      <c r="A15" s="115"/>
      <c r="B15" s="112"/>
      <c r="C15" s="106"/>
      <c r="D15" s="107"/>
      <c r="E15" s="107"/>
      <c r="F15" s="107"/>
      <c r="G15" s="107"/>
      <c r="H15" s="107"/>
      <c r="I15" s="107"/>
      <c r="J15" s="107"/>
      <c r="K15" s="107"/>
      <c r="L15" s="113"/>
      <c r="M15" s="107"/>
      <c r="N15" s="107"/>
      <c r="O15" s="107"/>
      <c r="P15" s="107"/>
    </row>
    <row r="16" spans="1:16">
      <c r="A16" s="551" t="s">
        <v>14</v>
      </c>
      <c r="B16" s="553" t="s">
        <v>15</v>
      </c>
      <c r="C16" s="562" t="s">
        <v>16</v>
      </c>
      <c r="D16" s="569" t="s">
        <v>3</v>
      </c>
      <c r="E16" s="555" t="s">
        <v>4</v>
      </c>
      <c r="F16" s="557" t="s">
        <v>17</v>
      </c>
      <c r="G16" s="558"/>
      <c r="H16" s="558"/>
      <c r="I16" s="558"/>
      <c r="J16" s="558"/>
      <c r="K16" s="559"/>
      <c r="L16" s="560" t="s">
        <v>18</v>
      </c>
      <c r="M16" s="558"/>
      <c r="N16" s="558"/>
      <c r="O16" s="558"/>
      <c r="P16" s="559"/>
    </row>
    <row r="17" spans="1:17" ht="60.75">
      <c r="A17" s="552"/>
      <c r="B17" s="554"/>
      <c r="C17" s="563"/>
      <c r="D17" s="570"/>
      <c r="E17" s="556"/>
      <c r="F17" s="506" t="s">
        <v>19</v>
      </c>
      <c r="G17" s="116" t="s">
        <v>20</v>
      </c>
      <c r="H17" s="116" t="s">
        <v>21</v>
      </c>
      <c r="I17" s="116" t="s">
        <v>22</v>
      </c>
      <c r="J17" s="116" t="s">
        <v>23</v>
      </c>
      <c r="K17" s="117" t="s">
        <v>24</v>
      </c>
      <c r="L17" s="118" t="s">
        <v>25</v>
      </c>
      <c r="M17" s="116" t="s">
        <v>21</v>
      </c>
      <c r="N17" s="116" t="s">
        <v>22</v>
      </c>
      <c r="O17" s="116" t="s">
        <v>23</v>
      </c>
      <c r="P17" s="117" t="s">
        <v>26</v>
      </c>
    </row>
    <row r="18" spans="1:17">
      <c r="A18" s="142"/>
      <c r="B18" s="137"/>
      <c r="C18" s="135" t="s">
        <v>408</v>
      </c>
      <c r="D18" s="139"/>
      <c r="E18" s="144"/>
      <c r="F18" s="146"/>
      <c r="G18" s="140"/>
      <c r="H18" s="140"/>
      <c r="I18" s="140"/>
      <c r="J18" s="140"/>
      <c r="K18" s="143"/>
      <c r="L18" s="145"/>
      <c r="M18" s="136"/>
      <c r="N18" s="136"/>
      <c r="O18" s="136"/>
      <c r="P18" s="143"/>
    </row>
    <row r="19" spans="1:17" ht="50.25" customHeight="1">
      <c r="A19" s="142">
        <v>1</v>
      </c>
      <c r="B19" s="508" t="s">
        <v>152</v>
      </c>
      <c r="C19" s="509" t="s">
        <v>414</v>
      </c>
      <c r="D19" s="139" t="s">
        <v>74</v>
      </c>
      <c r="E19" s="510">
        <v>80</v>
      </c>
      <c r="F19" s="146"/>
      <c r="G19" s="140"/>
      <c r="H19" s="140"/>
      <c r="I19" s="140"/>
      <c r="J19" s="140"/>
      <c r="K19" s="204"/>
      <c r="L19" s="205"/>
      <c r="M19" s="203"/>
      <c r="N19" s="203"/>
      <c r="O19" s="203"/>
      <c r="P19" s="204"/>
    </row>
    <row r="20" spans="1:17" ht="22.5">
      <c r="A20" s="142">
        <v>2</v>
      </c>
      <c r="B20" s="508" t="s">
        <v>152</v>
      </c>
      <c r="C20" s="509" t="s">
        <v>411</v>
      </c>
      <c r="D20" s="139" t="s">
        <v>74</v>
      </c>
      <c r="E20" s="510">
        <v>56</v>
      </c>
      <c r="F20" s="146"/>
      <c r="G20" s="140"/>
      <c r="H20" s="140"/>
      <c r="I20" s="140"/>
      <c r="J20" s="140"/>
      <c r="K20" s="204"/>
      <c r="L20" s="205"/>
      <c r="M20" s="203"/>
      <c r="N20" s="203"/>
      <c r="O20" s="203"/>
      <c r="P20" s="204"/>
    </row>
    <row r="21" spans="1:17" ht="22.5">
      <c r="A21" s="142">
        <v>3</v>
      </c>
      <c r="B21" s="508" t="s">
        <v>152</v>
      </c>
      <c r="C21" s="509" t="s">
        <v>412</v>
      </c>
      <c r="D21" s="139" t="s">
        <v>74</v>
      </c>
      <c r="E21" s="510">
        <v>20.5</v>
      </c>
      <c r="F21" s="146"/>
      <c r="G21" s="140"/>
      <c r="H21" s="140"/>
      <c r="I21" s="140"/>
      <c r="J21" s="140"/>
      <c r="K21" s="204"/>
      <c r="L21" s="205"/>
      <c r="M21" s="203"/>
      <c r="N21" s="203"/>
      <c r="O21" s="203"/>
      <c r="P21" s="204"/>
    </row>
    <row r="22" spans="1:17" ht="24" customHeight="1">
      <c r="A22" s="142">
        <v>4</v>
      </c>
      <c r="B22" s="508" t="s">
        <v>152</v>
      </c>
      <c r="C22" s="138" t="s">
        <v>413</v>
      </c>
      <c r="D22" s="139" t="s">
        <v>76</v>
      </c>
      <c r="E22" s="510">
        <v>4</v>
      </c>
      <c r="F22" s="146"/>
      <c r="G22" s="140"/>
      <c r="H22" s="140"/>
      <c r="I22" s="140"/>
      <c r="J22" s="140"/>
      <c r="K22" s="204"/>
      <c r="L22" s="205"/>
      <c r="M22" s="203"/>
      <c r="N22" s="203"/>
      <c r="O22" s="203"/>
      <c r="P22" s="204"/>
    </row>
    <row r="23" spans="1:17" ht="45.75">
      <c r="A23" s="142">
        <v>5</v>
      </c>
      <c r="B23" s="508" t="s">
        <v>152</v>
      </c>
      <c r="C23" s="138" t="s">
        <v>415</v>
      </c>
      <c r="D23" s="139" t="s">
        <v>370</v>
      </c>
      <c r="E23" s="510">
        <v>1</v>
      </c>
      <c r="F23" s="146"/>
      <c r="G23" s="140"/>
      <c r="H23" s="140"/>
      <c r="I23" s="140"/>
      <c r="J23" s="140"/>
      <c r="K23" s="204"/>
      <c r="L23" s="205"/>
      <c r="M23" s="203"/>
      <c r="N23" s="203"/>
      <c r="O23" s="203"/>
      <c r="P23" s="204"/>
    </row>
    <row r="24" spans="1:17" ht="34.5" customHeight="1">
      <c r="A24" s="142">
        <v>6</v>
      </c>
      <c r="B24" s="508" t="s">
        <v>152</v>
      </c>
      <c r="C24" s="138" t="s">
        <v>417</v>
      </c>
      <c r="D24" s="139" t="s">
        <v>74</v>
      </c>
      <c r="E24" s="510">
        <v>4.5</v>
      </c>
      <c r="F24" s="146"/>
      <c r="G24" s="140"/>
      <c r="H24" s="140"/>
      <c r="I24" s="140"/>
      <c r="J24" s="140"/>
      <c r="K24" s="204"/>
      <c r="L24" s="205"/>
      <c r="M24" s="203"/>
      <c r="N24" s="203"/>
      <c r="O24" s="203"/>
      <c r="P24" s="204"/>
    </row>
    <row r="25" spans="1:17">
      <c r="A25" s="142"/>
      <c r="B25" s="137"/>
      <c r="C25" s="135" t="s">
        <v>409</v>
      </c>
      <c r="D25" s="139"/>
      <c r="E25" s="144"/>
      <c r="F25" s="146"/>
      <c r="G25" s="140"/>
      <c r="H25" s="140"/>
      <c r="I25" s="140"/>
      <c r="J25" s="140"/>
      <c r="K25" s="143"/>
      <c r="L25" s="145"/>
      <c r="M25" s="136"/>
      <c r="N25" s="136"/>
      <c r="O25" s="136"/>
      <c r="P25" s="143"/>
    </row>
    <row r="26" spans="1:17" ht="22.5">
      <c r="A26" s="507">
        <v>1</v>
      </c>
      <c r="B26" s="508" t="s">
        <v>152</v>
      </c>
      <c r="C26" s="509" t="s">
        <v>410</v>
      </c>
      <c r="D26" s="139" t="s">
        <v>74</v>
      </c>
      <c r="E26" s="510">
        <v>28</v>
      </c>
      <c r="F26" s="146"/>
      <c r="G26" s="140"/>
      <c r="H26" s="140"/>
      <c r="I26" s="140"/>
      <c r="J26" s="140"/>
      <c r="K26" s="204"/>
      <c r="L26" s="205"/>
      <c r="M26" s="203"/>
      <c r="N26" s="203"/>
      <c r="O26" s="203"/>
      <c r="P26" s="204"/>
    </row>
    <row r="27" spans="1:17" ht="49.5" customHeight="1">
      <c r="A27" s="507">
        <v>2</v>
      </c>
      <c r="B27" s="508" t="s">
        <v>152</v>
      </c>
      <c r="C27" s="138" t="s">
        <v>418</v>
      </c>
      <c r="D27" s="139" t="s">
        <v>76</v>
      </c>
      <c r="E27" s="510">
        <v>1</v>
      </c>
      <c r="F27" s="146"/>
      <c r="G27" s="140"/>
      <c r="H27" s="140"/>
      <c r="I27" s="140"/>
      <c r="J27" s="140"/>
      <c r="K27" s="204"/>
      <c r="L27" s="205"/>
      <c r="M27" s="203"/>
      <c r="N27" s="203"/>
      <c r="O27" s="203"/>
      <c r="P27" s="204"/>
    </row>
    <row r="28" spans="1:17" ht="22.5">
      <c r="A28" s="507">
        <v>3</v>
      </c>
      <c r="B28" s="508" t="s">
        <v>152</v>
      </c>
      <c r="C28" s="138" t="s">
        <v>416</v>
      </c>
      <c r="D28" s="139" t="s">
        <v>74</v>
      </c>
      <c r="E28" s="510">
        <v>28</v>
      </c>
      <c r="F28" s="146"/>
      <c r="G28" s="140"/>
      <c r="H28" s="140"/>
      <c r="I28" s="140"/>
      <c r="J28" s="140"/>
      <c r="K28" s="204"/>
      <c r="L28" s="205"/>
      <c r="M28" s="203"/>
      <c r="N28" s="203"/>
      <c r="O28" s="203"/>
      <c r="P28" s="204"/>
    </row>
    <row r="29" spans="1:17" ht="22.5">
      <c r="A29" s="142">
        <v>4</v>
      </c>
      <c r="B29" s="137" t="s">
        <v>152</v>
      </c>
      <c r="C29" s="138" t="s">
        <v>383</v>
      </c>
      <c r="D29" s="139" t="s">
        <v>370</v>
      </c>
      <c r="E29" s="510">
        <v>1</v>
      </c>
      <c r="F29" s="146"/>
      <c r="G29" s="140"/>
      <c r="H29" s="140"/>
      <c r="I29" s="140"/>
      <c r="J29" s="140"/>
      <c r="K29" s="204"/>
      <c r="L29" s="205"/>
      <c r="M29" s="203"/>
      <c r="N29" s="203"/>
      <c r="O29" s="203"/>
      <c r="P29" s="204"/>
      <c r="Q29" s="515"/>
    </row>
    <row r="30" spans="1:17" ht="22.5">
      <c r="A30" s="142">
        <v>5</v>
      </c>
      <c r="B30" s="137" t="s">
        <v>152</v>
      </c>
      <c r="C30" s="138" t="s">
        <v>384</v>
      </c>
      <c r="D30" s="139" t="s">
        <v>370</v>
      </c>
      <c r="E30" s="510">
        <v>2</v>
      </c>
      <c r="F30" s="146"/>
      <c r="G30" s="140"/>
      <c r="H30" s="140"/>
      <c r="I30" s="140"/>
      <c r="J30" s="140"/>
      <c r="K30" s="345"/>
      <c r="L30" s="346"/>
      <c r="M30" s="347"/>
      <c r="N30" s="347"/>
      <c r="O30" s="347"/>
      <c r="P30" s="345"/>
    </row>
    <row r="31" spans="1:17" ht="13.5" thickBot="1">
      <c r="A31" s="597" t="s">
        <v>5</v>
      </c>
      <c r="B31" s="598"/>
      <c r="C31" s="598"/>
      <c r="D31" s="598"/>
      <c r="E31" s="598"/>
      <c r="F31" s="598"/>
      <c r="G31" s="598"/>
      <c r="H31" s="598"/>
      <c r="I31" s="598"/>
      <c r="J31" s="598"/>
      <c r="K31" s="599"/>
      <c r="L31" s="164">
        <f>SUM(L18:L30)</f>
        <v>0</v>
      </c>
      <c r="M31" s="152">
        <f>SUM(M18:M30)</f>
        <v>0</v>
      </c>
      <c r="N31" s="152">
        <f>SUM(N18:N30)</f>
        <v>0</v>
      </c>
      <c r="O31" s="152">
        <f>SUM(O18:O30)</f>
        <v>0</v>
      </c>
      <c r="P31" s="166">
        <f>SUM(P18:P30)</f>
        <v>0</v>
      </c>
    </row>
    <row r="32" spans="1:17" ht="13.5" thickBot="1">
      <c r="A32" s="548" t="s">
        <v>428</v>
      </c>
      <c r="B32" s="549"/>
      <c r="C32" s="549"/>
      <c r="D32" s="549"/>
      <c r="E32" s="549"/>
      <c r="F32" s="549"/>
      <c r="G32" s="549"/>
      <c r="H32" s="549"/>
      <c r="I32" s="549"/>
      <c r="J32" s="549"/>
      <c r="K32" s="550"/>
      <c r="L32" s="155"/>
      <c r="M32" s="156"/>
      <c r="N32" s="156"/>
      <c r="O32" s="156"/>
      <c r="P32" s="157"/>
    </row>
    <row r="33" spans="1:16" ht="13.5" thickBot="1">
      <c r="A33" s="542" t="s">
        <v>5</v>
      </c>
      <c r="B33" s="543"/>
      <c r="C33" s="543"/>
      <c r="D33" s="543"/>
      <c r="E33" s="543"/>
      <c r="F33" s="543"/>
      <c r="G33" s="543"/>
      <c r="H33" s="543"/>
      <c r="I33" s="543"/>
      <c r="J33" s="543"/>
      <c r="K33" s="544"/>
      <c r="L33" s="165">
        <f>SUM(L31:L32)</f>
        <v>0</v>
      </c>
      <c r="M33" s="159">
        <f>SUM(M31:M32)</f>
        <v>0</v>
      </c>
      <c r="N33" s="159">
        <f>SUM(N31:N32)</f>
        <v>0</v>
      </c>
      <c r="O33" s="159">
        <f>SUM(O31:O32)</f>
        <v>0</v>
      </c>
      <c r="P33" s="160">
        <f>SUM(P31:P32)</f>
        <v>0</v>
      </c>
    </row>
  </sheetData>
  <mergeCells count="16">
    <mergeCell ref="L16:P16"/>
    <mergeCell ref="A31:K31"/>
    <mergeCell ref="A32:K32"/>
    <mergeCell ref="A33:K33"/>
    <mergeCell ref="A16:A17"/>
    <mergeCell ref="B16:B17"/>
    <mergeCell ref="C16:C17"/>
    <mergeCell ref="D16:D17"/>
    <mergeCell ref="E16:E17"/>
    <mergeCell ref="F16:K16"/>
    <mergeCell ref="A1:P1"/>
    <mergeCell ref="A2:P3"/>
    <mergeCell ref="A5:P5"/>
    <mergeCell ref="A6:P6"/>
    <mergeCell ref="L12:N12"/>
    <mergeCell ref="O12:P1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K</vt:lpstr>
      <vt:lpstr>O1</vt:lpstr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'O1'!Print_Area</vt:lpstr>
    </vt:vector>
  </TitlesOfParts>
  <Company>HCData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Mart_ru</cp:lastModifiedBy>
  <cp:lastPrinted>2013-06-28T04:47:41Z</cp:lastPrinted>
  <dcterms:created xsi:type="dcterms:W3CDTF">2004-03-25T12:48:46Z</dcterms:created>
  <dcterms:modified xsi:type="dcterms:W3CDTF">2013-07-09T07:48:25Z</dcterms:modified>
</cp:coreProperties>
</file>