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000" windowHeight="4410" tabRatio="909" activeTab="4"/>
  </bookViews>
  <sheets>
    <sheet name="T" sheetId="1" r:id="rId1"/>
    <sheet name="S" sheetId="2" r:id="rId2"/>
    <sheet name="P" sheetId="3" r:id="rId3"/>
    <sheet name="K" sheetId="4" r:id="rId4"/>
    <sheet name="O1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logi durvis" sheetId="14" r:id="rId14"/>
  </sheets>
  <externalReferences>
    <externalReference r:id="rId17"/>
  </externalReferences>
  <definedNames>
    <definedName name="beigas" localSheetId="5">#REF!</definedName>
    <definedName name="beigas" localSheetId="6">#REF!</definedName>
    <definedName name="beigas" localSheetId="7">#REF!</definedName>
    <definedName name="beigas" localSheetId="8">#REF!</definedName>
    <definedName name="beigas" localSheetId="9">#REF!</definedName>
    <definedName name="beigas" localSheetId="10">#REF!</definedName>
    <definedName name="beigas" localSheetId="11">#REF!</definedName>
    <definedName name="beigas" localSheetId="12">#REF!</definedName>
    <definedName name="beigas" localSheetId="3">#REF!</definedName>
    <definedName name="beigas" localSheetId="13">#REF!</definedName>
    <definedName name="beigas" localSheetId="4">#REF!</definedName>
    <definedName name="beigas">#REF!</definedName>
    <definedName name="_xlnm.Print_Area" localSheetId="5">'1'!$A$1:$P$47</definedName>
    <definedName name="_xlnm.Print_Area" localSheetId="6">'2'!$A$1:$P$85</definedName>
    <definedName name="_xlnm.Print_Area" localSheetId="7">'3'!$A$1:$P$60</definedName>
    <definedName name="_xlnm.Print_Area" localSheetId="8">'4'!$A$1:$P$33</definedName>
    <definedName name="_xlnm.Print_Area" localSheetId="9">'5'!$A$1:$P$49</definedName>
    <definedName name="_xlnm.Print_Area" localSheetId="10">'6'!$A$1:$P$133</definedName>
    <definedName name="_xlnm.Print_Area" localSheetId="11">'7'!$A$1:$P$214</definedName>
    <definedName name="_xlnm.Print_Area" localSheetId="12">'8'!$A$1:$P$53</definedName>
    <definedName name="_xlnm.Print_Area" localSheetId="3">'K'!$A$1:$D$40</definedName>
    <definedName name="_xlnm.Print_Area" localSheetId="13">'logi durvis'!$A$46:$I$79</definedName>
    <definedName name="_xlnm.Print_Area" localSheetId="4">'O1'!$A$1:$G$40</definedName>
    <definedName name="_xlnm.Print_Area" localSheetId="2">'P'!$A$1:$C$38</definedName>
    <definedName name="_xlnm.Print_Area" localSheetId="1">'S'!$A$1:$B$25</definedName>
    <definedName name="_xlnm.Print_Area" localSheetId="0">'T'!$A$1:$B$51</definedName>
  </definedNames>
  <calcPr fullCalcOnLoad="1"/>
</workbook>
</file>

<file path=xl/sharedStrings.xml><?xml version="1.0" encoding="utf-8"?>
<sst xmlns="http://schemas.openxmlformats.org/spreadsheetml/2006/main" count="1752" uniqueCount="519">
  <si>
    <t>kompl.</t>
  </si>
  <si>
    <t>gb.</t>
  </si>
  <si>
    <t>t.m.</t>
  </si>
  <si>
    <t>Mērvienība</t>
  </si>
  <si>
    <t>Daudzums</t>
  </si>
  <si>
    <t>KOPĀ:</t>
  </si>
  <si>
    <t>1</t>
  </si>
  <si>
    <t>2</t>
  </si>
  <si>
    <t>3</t>
  </si>
  <si>
    <t>4</t>
  </si>
  <si>
    <t>5</t>
  </si>
  <si>
    <t>6</t>
  </si>
  <si>
    <t xml:space="preserve">Pasūtījuma Nr: </t>
  </si>
  <si>
    <t>Tāmes izmaksas (Ls):</t>
  </si>
  <si>
    <t>Nr. p. k.</t>
  </si>
  <si>
    <t>Kods</t>
  </si>
  <si>
    <t>Darba nosaukums (apraksts)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</si>
  <si>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</si>
  <si>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</si>
  <si>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</si>
  <si>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</si>
  <si>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</si>
  <si>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</si>
  <si>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</si>
  <si>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</si>
  <si>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</si>
  <si>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</si>
  <si>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Kalk.</t>
  </si>
  <si>
    <t>7</t>
  </si>
  <si>
    <t>8</t>
  </si>
  <si>
    <t>Kopā (Ls):</t>
  </si>
  <si>
    <t>Darba devēja sociālais nodoklis 24.09 % (Ls):</t>
  </si>
  <si>
    <t>Kopā</t>
  </si>
  <si>
    <t>9</t>
  </si>
  <si>
    <t>______________________________________</t>
  </si>
  <si>
    <t>Z.v.</t>
  </si>
  <si>
    <t>BŪVNIECĪBAS KOPTĀME</t>
  </si>
  <si>
    <t>%</t>
  </si>
  <si>
    <t xml:space="preserve"> -</t>
  </si>
  <si>
    <t>Vērtējamā summa bez PVN (LVL)</t>
  </si>
  <si>
    <t>PVN, % (LVL)</t>
  </si>
  <si>
    <t>Pavisam būvizmaksas (LVL)</t>
  </si>
  <si>
    <t>WC noma</t>
  </si>
  <si>
    <t>Vagoniņa noma</t>
  </si>
  <si>
    <t>Vagoniņa transports</t>
  </si>
  <si>
    <t>km</t>
  </si>
  <si>
    <t>Lokālās tāmes Nr.</t>
  </si>
  <si>
    <t>Lokālās tāmes nosaukums</t>
  </si>
  <si>
    <t>Lokālās tāmes izmaksas, Ls</t>
  </si>
  <si>
    <t>PASKAIDROJUMA RAKSTS</t>
  </si>
  <si>
    <t>Kopējās būvizmaksas:</t>
  </si>
  <si>
    <t>LVL</t>
  </si>
  <si>
    <t>Kopējā darbietilpība:</t>
  </si>
  <si>
    <t>c/h</t>
  </si>
  <si>
    <t>Vidējā darba samaksas likme:</t>
  </si>
  <si>
    <t>Ls/h</t>
  </si>
  <si>
    <t>Izmanotie normatīvi:</t>
  </si>
  <si>
    <t>Latvijas būvnormatīvs LBN 501-06 "Būvizmaksu noteikšanas kārtība"</t>
  </si>
  <si>
    <t>Doršs I. Kā aprēķināt celtniecības un remonta darbu izmaksas? – Liepāja: LiePA, 2002. 96 lpp.</t>
  </si>
  <si>
    <t>Dreziņš I., Strēlis K., Šeškena V. Būvniecības tāmju normatīvi – Rīga: EI-Beta, 1999. 126 lpp.</t>
  </si>
  <si>
    <t>Par kopējo summu (Ls):</t>
  </si>
  <si>
    <t>Kopējā darbietilpība (c/h):</t>
  </si>
  <si>
    <t>Lokālās tāmes izmaksas (Ls)</t>
  </si>
  <si>
    <t>Būvlaukuma sagatavošanas darbi</t>
  </si>
  <si>
    <t>Jumtu renovācijas darbi</t>
  </si>
  <si>
    <t>Pagraba griestu siltināšanas darbi</t>
  </si>
  <si>
    <t>Bēniņu siltināšanas darbi</t>
  </si>
  <si>
    <t>Fasādes siltināšanas darbi</t>
  </si>
  <si>
    <t>APSTIPRINU:</t>
  </si>
  <si>
    <t>Objekta tāmes Nr.</t>
  </si>
  <si>
    <t>Objekta tāmes nosaukums</t>
  </si>
  <si>
    <t>Kopā būvniecības izmaksas</t>
  </si>
  <si>
    <t>Ar būvniecību saistītās izmaksas</t>
  </si>
  <si>
    <t>-</t>
  </si>
  <si>
    <t>Izmaksas, saitītas ar objekta nodošanu ekspluatācijā</t>
  </si>
  <si>
    <t>Ar būvniecību saistītās izmaksas kopā</t>
  </si>
  <si>
    <t>Dzīvojamās ēkas siltināšana</t>
  </si>
  <si>
    <t>Lokālā tāme Nr. 1</t>
  </si>
  <si>
    <t>mēn</t>
  </si>
  <si>
    <t>mēn.</t>
  </si>
  <si>
    <t>Objekta logo izgatavošana un uzstādīšana</t>
  </si>
  <si>
    <t>Būvtāfele</t>
  </si>
  <si>
    <t>Pagaidu elektrību un laukuma apgaismojuma ierīkošana būvniecības vajadzībām</t>
  </si>
  <si>
    <t>Materiālu komplekts</t>
  </si>
  <si>
    <t>Ikmēneša maksa par elektrības izmantošanu būvniecības periodam</t>
  </si>
  <si>
    <t>Komplekts</t>
  </si>
  <si>
    <t>Pagaidu ūdensvada tīklu ierīkošana būvniecības vajadzībām</t>
  </si>
  <si>
    <t>Ikmēneša maksa par ūdens izmantošanu būvniecības periodam</t>
  </si>
  <si>
    <t>Dzīvojamā vagonoņa montāža, demontāža, noma</t>
  </si>
  <si>
    <t>Darbu vadītāja vagoniņa montāža, demontāža, noma</t>
  </si>
  <si>
    <t>Pārvietojamās tualetes montāža, demontāža, noma</t>
  </si>
  <si>
    <t>LOGI</t>
  </si>
  <si>
    <t>Apzīmējums</t>
  </si>
  <si>
    <t>Platums</t>
  </si>
  <si>
    <t>Augstums</t>
  </si>
  <si>
    <t>Laukums</t>
  </si>
  <si>
    <t>Skaits</t>
  </si>
  <si>
    <t>Summārais laukums</t>
  </si>
  <si>
    <t>Kleidas</t>
  </si>
  <si>
    <t>Ailas b=20 cm</t>
  </si>
  <si>
    <t>Palodzes</t>
  </si>
  <si>
    <t>m</t>
  </si>
  <si>
    <t>m2</t>
  </si>
  <si>
    <t>gb</t>
  </si>
  <si>
    <t>ĀRDURVIS</t>
  </si>
  <si>
    <t>m²</t>
  </si>
  <si>
    <t>kg</t>
  </si>
  <si>
    <t>Skrūves</t>
  </si>
  <si>
    <t>Būvgružu konteineru noma</t>
  </si>
  <si>
    <t>diena</t>
  </si>
  <si>
    <t>Būvgružu savākšana un aizvešana uz izgāztuvi</t>
  </si>
  <si>
    <t>m³</t>
  </si>
  <si>
    <t>Izgāztuves izmaksa</t>
  </si>
  <si>
    <t>Lokālā tāme Nr. 2</t>
  </si>
  <si>
    <t>Lokālā tāme Nr. 3</t>
  </si>
  <si>
    <t>11-56 b</t>
  </si>
  <si>
    <t>5-86 d</t>
  </si>
  <si>
    <t>Montāžas skava</t>
  </si>
  <si>
    <t>Putas Remontix Pro (114)</t>
  </si>
  <si>
    <t>5-97 b</t>
  </si>
  <si>
    <t>Iekšējo palodžu monāža stiprinot ar skrūvēm un blīvējamo materiālu</t>
  </si>
  <si>
    <t>Palodžu uzgaļi</t>
  </si>
  <si>
    <t>8-41</t>
  </si>
  <si>
    <t>Ailu apdare no iekšpuses pēc to montāžas</t>
  </si>
  <si>
    <t>PVC stūra profils ar sietu 10x10, 2.5m</t>
  </si>
  <si>
    <t>Līmjava SAKRET BAK 25 kg</t>
  </si>
  <si>
    <t>Apmetums Rotband 30kg. Knauf</t>
  </si>
  <si>
    <t>Špaktele nobeiguma VET.LR 25kg</t>
  </si>
  <si>
    <t>Špaktele gat. univers. SHEETROCK(zaļa) 28kg</t>
  </si>
  <si>
    <t>Grunts KN Tiefengruntd 15 l</t>
  </si>
  <si>
    <t>Stūra šina 25x25 GKB L=3m Fasten</t>
  </si>
  <si>
    <t>Smilšpapīrs</t>
  </si>
  <si>
    <t>Līmlenta krāsotājam, Kreps263 25mmx50m</t>
  </si>
  <si>
    <t>gab.</t>
  </si>
  <si>
    <t>Hermētiķis NEO ACRYL BALTS 310ml</t>
  </si>
  <si>
    <t>Gruntskrāsa VIVAPLAST PRIMER 18L</t>
  </si>
  <si>
    <t>Krāsa VIVAPLAST-12 9L (tonēta)</t>
  </si>
  <si>
    <t>Lokālā tāme Nr. 4</t>
  </si>
  <si>
    <t>8-38 a</t>
  </si>
  <si>
    <t>Līmjava SAKRET BK 25 kg</t>
  </si>
  <si>
    <t>Dībeļi ārsienu silt.180mm</t>
  </si>
  <si>
    <t>13-00401</t>
  </si>
  <si>
    <t>ISOVER PUH</t>
  </si>
  <si>
    <t>m3</t>
  </si>
  <si>
    <t>rullis</t>
  </si>
  <si>
    <t>5-72 a</t>
  </si>
  <si>
    <t>Lokālā tāme Nr. 5</t>
  </si>
  <si>
    <t>Lokālā tāme Nr. 6</t>
  </si>
  <si>
    <t>5-111</t>
  </si>
  <si>
    <t xml:space="preserve">Inventārās sastatnes, tīklu montāža un demontāža fasādes apdares darbu veikšanai </t>
  </si>
  <si>
    <t>Sastatņu noma</t>
  </si>
  <si>
    <t>Plēve celtn.UV stab. 100mk 3m/50m (150m2)(Tvaika barjera) Salta</t>
  </si>
  <si>
    <t>Skavas</t>
  </si>
  <si>
    <t>8-39 b</t>
  </si>
  <si>
    <t>PAROC FAB 3 30x600x1200</t>
  </si>
  <si>
    <t>Dībeļi ārsienu silt.90mm</t>
  </si>
  <si>
    <t>1-1 c</t>
  </si>
  <si>
    <t>Pamata grunts slāņa atrakšana, izlīdzināšana</t>
  </si>
  <si>
    <t>8-38 b</t>
  </si>
  <si>
    <t>Pamatu piebēršana ar izrakto grunti</t>
  </si>
  <si>
    <t>6-1</t>
  </si>
  <si>
    <t>Apmales atjaunošana 60cm platumā</t>
  </si>
  <si>
    <t>Šķembas 18-22mm</t>
  </si>
  <si>
    <t>t</t>
  </si>
  <si>
    <t>Smilts 0-15mm</t>
  </si>
  <si>
    <t>Bruģis T-6 pelēks 60 mm</t>
  </si>
  <si>
    <t>10</t>
  </si>
  <si>
    <t>21-00082, 21-00211</t>
  </si>
  <si>
    <t>Stiklašķiedras siets SSB145</t>
  </si>
  <si>
    <t>11</t>
  </si>
  <si>
    <t>12</t>
  </si>
  <si>
    <t>13</t>
  </si>
  <si>
    <t>14</t>
  </si>
  <si>
    <t>Dekoratīva apmetuma grunts SAKRET PG 25 kg</t>
  </si>
  <si>
    <t>Fasādes armējošā slāņa gruntēšana- fasāde</t>
  </si>
  <si>
    <t>Fasādes armējošā slāņa gruntēšana - ailes</t>
  </si>
  <si>
    <t>21-00131</t>
  </si>
  <si>
    <t>Dekoratīvā apmetuma uzklāšana -fasādei</t>
  </si>
  <si>
    <t>Dekoratīvais apmetums SAKRET MRP-E 2 mm, 25 kg</t>
  </si>
  <si>
    <t>Dekoratīvā apmetuma uzklāšana - ailes</t>
  </si>
  <si>
    <t>Dekoratīvā apmetuma uzklāšana - cokols</t>
  </si>
  <si>
    <t>21-00221</t>
  </si>
  <si>
    <t>Fasādes krāsošana - fasāde</t>
  </si>
  <si>
    <t>Krāsa HANSA SILICAT SB 9L silikātkrāsa minerālām fasādēm (tonēta)</t>
  </si>
  <si>
    <t>Fasādes krāsošana - ailes</t>
  </si>
  <si>
    <t>Logu nosegšana ar plēvi</t>
  </si>
  <si>
    <t>Siltumizolācijas slāņa montāža logu ailēm ar  puscietām akmens plātnēm 30 mm biezumā</t>
  </si>
  <si>
    <t>Armējošā slāņa (sieta un līmjavas) iestrāde fasādei</t>
  </si>
  <si>
    <t>Armējošā slāņa (sieta un līmjavas) iestrāde logu ailēm</t>
  </si>
  <si>
    <t>Stūru papildus stiprināšana ar stiegrojuma sietu iestrādājot līmjavā</t>
  </si>
  <si>
    <t>Stūris PVC Stiklšķ.  8x12cm  L=2,50m Fasten</t>
  </si>
  <si>
    <t>Armējošā slāņa (sieta un līmjavas) iestrāde  cokolam</t>
  </si>
  <si>
    <t>Fasādes armējošā slāņa gruntēšana - cokols</t>
  </si>
  <si>
    <t>Esošās apmales demontāža</t>
  </si>
  <si>
    <t>Ārējo palodžu montāža stiprinot ar skrūvēm, noblīvējot ar silikonu</t>
  </si>
  <si>
    <t>Ārējā palodze 300 mm</t>
  </si>
  <si>
    <t>Silikons 310 ml</t>
  </si>
  <si>
    <t>Logu bloku ar iekšējām palodzēm demontāža</t>
  </si>
  <si>
    <t>SATURS</t>
  </si>
  <si>
    <t>1. Būvkomersanta reģistrācijas apliecības kopija</t>
  </si>
  <si>
    <t>2. Būvprakses sertifikāts</t>
  </si>
  <si>
    <t>3. Paskaidrojuma raksts</t>
  </si>
  <si>
    <t>4. Būvniecības koptāme</t>
  </si>
  <si>
    <t>KOPSAVILKUMU APRĒĶINS PAR DARBU VAI KONSTRUKTĪVO ELEMENTU VEIDIEM Nr.1</t>
  </si>
  <si>
    <t>5. Kopsavilkuma aprēķins par darbu vai konstruktīvo elementu veidiem</t>
  </si>
  <si>
    <t>6. Lokālā tāme Nr. 1 - Būvlaukuma sagatavošanas darbi</t>
  </si>
  <si>
    <t>7. Lokālā tāme Nr. 2 - Jumtu renovācijas darbi</t>
  </si>
  <si>
    <t>8. Lokālā tāme Nr. 3 - Logu un durvju nomaiņa</t>
  </si>
  <si>
    <t>9. Lokālā tāme Nr. 4 - Pagraba griestu siltināšanas darbi</t>
  </si>
  <si>
    <t>10. Lokālā tāme Nr. 5 - Bēniņu siltināšanas darbi</t>
  </si>
  <si>
    <t>11. Lokālā tāme Nr. 6 - Fasādes siltināšanas darbi</t>
  </si>
  <si>
    <t>SKRŪVES PAŠZENĶĒJOŠĀS 4,2x51 FINIERA</t>
  </si>
  <si>
    <t>L-1</t>
  </si>
  <si>
    <t>L-2</t>
  </si>
  <si>
    <t>Logu nomaiņa</t>
  </si>
  <si>
    <t>Lamināta palodze 350mm (balta)</t>
  </si>
  <si>
    <t>Dziļā grunts SAKRET TGW 20 L</t>
  </si>
  <si>
    <t>Fasādes virsmu gruntēšana</t>
  </si>
  <si>
    <t>PAROC FAS 3 50x600x1200</t>
  </si>
  <si>
    <t>09-15005</t>
  </si>
  <si>
    <t>Teknes gals</t>
  </si>
  <si>
    <t>Silikons Makrosil SA</t>
  </si>
  <si>
    <t>09-15302</t>
  </si>
  <si>
    <t>Noteka</t>
  </si>
  <si>
    <t>Piltuve</t>
  </si>
  <si>
    <t>Līkums A</t>
  </si>
  <si>
    <t>Līkums B</t>
  </si>
  <si>
    <t>Notekas stiprinājums</t>
  </si>
  <si>
    <t>4-28 a</t>
  </si>
  <si>
    <t>100 gb</t>
  </si>
  <si>
    <t>Fasādes krāsošana - cokols</t>
  </si>
  <si>
    <t>15</t>
  </si>
  <si>
    <t>16</t>
  </si>
  <si>
    <t>17</t>
  </si>
  <si>
    <t>Objekta nosaukums: Daudzdzīvokļu mājas renovācija</t>
  </si>
  <si>
    <t>Būves nosaukums: Daudzdzīvokļu mājas renovācija</t>
  </si>
  <si>
    <r>
      <t xml:space="preserve">Būves nosaukums: </t>
    </r>
    <r>
      <rPr>
        <b/>
        <sz val="10"/>
        <rFont val="Tahoma"/>
        <family val="2"/>
      </rPr>
      <t>Daudzdzīvokļu mājas renovācija</t>
    </r>
  </si>
  <si>
    <r>
      <t xml:space="preserve">Būves nosaukums: </t>
    </r>
    <r>
      <rPr>
        <b/>
        <u val="single"/>
        <sz val="10"/>
        <rFont val="Tahoma"/>
        <family val="2"/>
      </rPr>
      <t>Daudzdzīvokļu mājas renovācija</t>
    </r>
  </si>
  <si>
    <t>Durvju bloku demontāža</t>
  </si>
  <si>
    <t>3. Būvniecības tāmes sagatavošanas darba uzdevums</t>
  </si>
  <si>
    <t>tek.m.</t>
  </si>
  <si>
    <t>Naglas 75 mm</t>
  </si>
  <si>
    <t>Koka laipu montāža, platums 400 mm</t>
  </si>
  <si>
    <t>Kokmateriāli, antiseptizēti, 50x150 mm</t>
  </si>
  <si>
    <t>Kokmateriāli, antiseptizēti, 32*100 mm</t>
  </si>
  <si>
    <t>Palīgmateriālu komplekts</t>
  </si>
  <si>
    <t>Siltumizolācijas slāņa montāža gala sienām ar puscietām akmens plātnēm (FAS3)50 mm biezumā h=600 mm</t>
  </si>
  <si>
    <t>Apmale 800x200x80</t>
  </si>
  <si>
    <t>Transportbetons B15</t>
  </si>
  <si>
    <t>11-81</t>
  </si>
  <si>
    <t>Noteku un renu demontāža</t>
  </si>
  <si>
    <t>Būvgružu iekraušana</t>
  </si>
  <si>
    <t>Konteineru noma</t>
  </si>
  <si>
    <t>Naglas 70 mm</t>
  </si>
  <si>
    <t>gab</t>
  </si>
  <si>
    <t>Vītņstienis ar uzgriežņiem un paplāksnēm</t>
  </si>
  <si>
    <t>Naglas</t>
  </si>
  <si>
    <t>Dzegas apšuvuma demontāža</t>
  </si>
  <si>
    <t>Lietus ūdeņu tekņu montāža</t>
  </si>
  <si>
    <t>Lietus notekcauruļu montāža</t>
  </si>
  <si>
    <t>5-77 a</t>
  </si>
  <si>
    <t>Kokmateriāli</t>
  </si>
  <si>
    <t>Apdares dēļi 18*93, egle</t>
  </si>
  <si>
    <t>Gruntskrāsa Pinotex Base 10l</t>
  </si>
  <si>
    <t>Krāsa Pinotex 10l (tonēta)</t>
  </si>
  <si>
    <r>
      <t>PVC konstrukcijas veramus logu (U</t>
    </r>
    <r>
      <rPr>
        <sz val="9"/>
        <rFont val="Calibri"/>
        <family val="2"/>
      </rPr>
      <t>≤1.4</t>
    </r>
    <r>
      <rPr>
        <sz val="8.3"/>
        <rFont val="Tahoma"/>
        <family val="2"/>
      </rPr>
      <t>m2K)</t>
    </r>
    <r>
      <rPr>
        <sz val="9"/>
        <rFont val="Tahoma"/>
        <family val="2"/>
      </rPr>
      <t xml:space="preserve"> ar selektīvā stiklojuma paketēm iestrāde (krāsa- balta/balta), stiprinot ar ķīļiem un makrofleksu</t>
    </r>
  </si>
  <si>
    <r>
      <t>PVC durvju bloku montāža, stiprinot ar ķīļiem un makrofleksu, U</t>
    </r>
    <r>
      <rPr>
        <sz val="9"/>
        <rFont val="Calibri"/>
        <family val="2"/>
      </rPr>
      <t>&lt;</t>
    </r>
    <r>
      <rPr>
        <sz val="9"/>
        <rFont val="Tahoma"/>
        <family val="2"/>
      </rPr>
      <t>1.4W/m2K</t>
    </r>
  </si>
  <si>
    <t xml:space="preserve">D-1 PVC </t>
  </si>
  <si>
    <r>
      <t xml:space="preserve">Pasūtītājs: </t>
    </r>
    <r>
      <rPr>
        <b/>
        <sz val="10"/>
        <rFont val="Tahoma"/>
        <family val="2"/>
      </rPr>
      <t>SIA "Kuldīgas komunālie pakalpojumi"  (reģ. Nr. LV 56103000221)</t>
    </r>
  </si>
  <si>
    <r>
      <t xml:space="preserve">Tāme sastādīta pēc </t>
    </r>
    <r>
      <rPr>
        <b/>
        <u val="single"/>
        <sz val="10"/>
        <rFont val="Tahoma"/>
        <family val="2"/>
      </rPr>
      <t>SIA "Kuldīgas komunālie pakalpojumi"  (reģ. Nr. LV 56103000221)</t>
    </r>
    <r>
      <rPr>
        <sz val="10"/>
        <rFont val="Tahoma"/>
        <family val="2"/>
      </rPr>
      <t xml:space="preserve"> pasūtījuma.</t>
    </r>
  </si>
  <si>
    <t>Būvlaukuma norobežošana ar inventāro žogu posmiem, žoga nojaukšana, noma 4 mēn</t>
  </si>
  <si>
    <t>Žoga noma 4 mēn.</t>
  </si>
  <si>
    <t>Noteka ar līkumu 2 m (Pe)</t>
  </si>
  <si>
    <t>Jumta dzegas izbūve no dēļiem</t>
  </si>
  <si>
    <t>Jumta dzegas krāsošana ar PINOTEX 2 kārtas, vai analogs</t>
  </si>
  <si>
    <t>Pagraba griestu siltināšana ar putopolistirola plātnēm b=120 mm, ap statiem b=200 mm, pielīmējot ar līmjavu, stiprinot ar dībeļiem, ieskaitot pagraba sienu augšējo daļu demontāža</t>
  </si>
  <si>
    <t>Putu polistirols EPS60 120 mm</t>
  </si>
  <si>
    <t>Putu polistirols EPS60 200 mm</t>
  </si>
  <si>
    <t>Ieeju iekšdurvju blivēšana, remonts un atsperu uzstādīšana durvīm</t>
  </si>
  <si>
    <t>Dībeļi ārsienu silt.200mm</t>
  </si>
  <si>
    <t>Cokola profila montāža</t>
  </si>
  <si>
    <t>Palīgmateriāli</t>
  </si>
  <si>
    <t>Silikāta krāsa Sakret KS 9L (tonēta)</t>
  </si>
  <si>
    <t>Ailu sagatavošana siltumizolācijas montāžai</t>
  </si>
  <si>
    <t>20</t>
  </si>
  <si>
    <t>L-3 balk</t>
  </si>
  <si>
    <t>L-4 kāpņu</t>
  </si>
  <si>
    <r>
      <t xml:space="preserve">Objekta adrese: </t>
    </r>
    <r>
      <rPr>
        <b/>
        <sz val="10"/>
        <rFont val="Tahoma"/>
        <family val="2"/>
      </rPr>
      <t>Grants iela 29, Kuldīga, Kuldīgas novads</t>
    </r>
  </si>
  <si>
    <r>
      <t xml:space="preserve">Objekta adrese: </t>
    </r>
    <r>
      <rPr>
        <b/>
        <u val="single"/>
        <sz val="10"/>
        <rFont val="Tahoma"/>
        <family val="2"/>
      </rPr>
      <t>Grants iela 29, Kuldīga, Kuldīgas novads</t>
    </r>
  </si>
  <si>
    <t>Objekta adrese: Grants iela 29, Kuldīga, Kuldīgas novads</t>
  </si>
  <si>
    <t>Materiālu novietnes-vagona montāža, demontāža, noma</t>
  </si>
  <si>
    <t>Viļņotā jumta seguma demontāža</t>
  </si>
  <si>
    <t>Koka latojuma demontāža (saglabājot)</t>
  </si>
  <si>
    <t>Spāru montāža, jumta pagarināšanai ēkas gala sienās</t>
  </si>
  <si>
    <t>Būvkalumi (spāru enkuri)</t>
  </si>
  <si>
    <t>Būvkalumi (caurumotā plāksne CP2-60-200)</t>
  </si>
  <si>
    <t>Būvkalumi (leņķi 65*90*90)</t>
  </si>
  <si>
    <t>Enkurnaglas 4*50</t>
  </si>
  <si>
    <t>RUBEROĪDS RPP- 300 (15m2)</t>
  </si>
  <si>
    <t>Latojuma montāža, antiseptizētas</t>
  </si>
  <si>
    <t>Latas 75x75mm, antiseptizētas</t>
  </si>
  <si>
    <t>Viļņoto cementa lokšņu montāža (analogas esošām loksnēm)</t>
  </si>
  <si>
    <t>Viļņotās cementa loksnes</t>
  </si>
  <si>
    <t>Tekne 150 mm (Pe)</t>
  </si>
  <si>
    <t>Teknes āķis 150 mm</t>
  </si>
  <si>
    <t>Grunts (Primer PU alchimic, vai analoga) ieklāšana, ventilācijas izvadu un izeju uz jumta apdare jumtu plaknēm un parapetiem, ieskaitot jumtam virs lodžijām</t>
  </si>
  <si>
    <t>Grunts Primer PU</t>
  </si>
  <si>
    <t>Hidroizolācijas (Hiperdesmo alhimic, vai analoga) ieklāšana, ventilācijas izvadu un izeju uz jumta apdare jumta plaknēm un parapetiem, ieskaitot jumtam virs lodžijām.</t>
  </si>
  <si>
    <t>Hidroizolācija Hiperdesmo Alhimic</t>
  </si>
  <si>
    <t>4-39 b</t>
  </si>
  <si>
    <t>Hermētiķis REMONTIX Silikons sanit.caursp. 280ml</t>
  </si>
  <si>
    <t>Jumtu plakņu attīrīšana, bojāto vietu atsegšana un remonts (ieejas jumtiņi)</t>
  </si>
  <si>
    <t>Skārda elementu montāža (vējmala, atloks, karnīze)</t>
  </si>
  <si>
    <t>Skārda elements</t>
  </si>
  <si>
    <t>PVC loga bloks L-1 2300x1400 mm</t>
  </si>
  <si>
    <t>PVC loga bloks L-2 1500x1400 mm</t>
  </si>
  <si>
    <t>PVC loga bloks L-3 2300x1400 mm (ar balkona durvīm)</t>
  </si>
  <si>
    <t>PVC ārdurvju bloks DA1 2100x2200mm</t>
  </si>
  <si>
    <t>Armējošā slāņa (sieta un līmjavas) iestrāde</t>
  </si>
  <si>
    <t>Pretvēja izolācijas ierīkošana no plāksnēm</t>
  </si>
  <si>
    <t>Vate vēja Paroc WAS25t 25mm</t>
  </si>
  <si>
    <t>Dībeļi ar skrūvēm</t>
  </si>
  <si>
    <t>PAROC FAS 3 120x600x1200</t>
  </si>
  <si>
    <t>Siltumizolācijas slāņa montāža kāpņu telpas sienām bēniņos ar puscietām akmens plātnēm (FAS3)120 mm biezumā</t>
  </si>
  <si>
    <t>Putupolistirols EPS150 100 mm</t>
  </si>
  <si>
    <t>Siltumizolācijas slāņa montāža cokolam 100 mm biezumā, stiprinot ar dībeļiem</t>
  </si>
  <si>
    <t>Balkona paneļu tīrīšana un  gruntēšana</t>
  </si>
  <si>
    <t>Balkona paneļu krāsošana</t>
  </si>
  <si>
    <t>Esošā lodžiju apšuvuma demontāža</t>
  </si>
  <si>
    <t>Lodžiju apdare ar skārda loksnēm</t>
  </si>
  <si>
    <t>Sienu loksne PP20, Pe</t>
  </si>
  <si>
    <t>Profilētas lodžiju margas uzstādīšana, marga koka 3x12cm, apstrādāta ar lineļļu</t>
  </si>
  <si>
    <t>Marga 30x120 mm, krāsota</t>
  </si>
  <si>
    <t>Ieejas mezglu remonts</t>
  </si>
  <si>
    <t>Apkures sistēmas renovācija</t>
  </si>
  <si>
    <t>Lokālā tāme Nr. 7</t>
  </si>
  <si>
    <t>Normat.</t>
  </si>
  <si>
    <t>12. Lokālā tāme Nr. 7 - Apkures sistēmas renovācija</t>
  </si>
  <si>
    <t>Bēniņu durvju remonts</t>
  </si>
  <si>
    <t>Bēniņu siltināšana ar 200 mm beramo siltumizolācijas klāju</t>
  </si>
  <si>
    <t>Cokola profils PC-120/20</t>
  </si>
  <si>
    <t>Siltumizolācijas slāņa montāža fasādei ar puscietām akmens plātnēm (FAS3)120 mm biezumā</t>
  </si>
  <si>
    <t>Logu un durvju nomaiņa (koplietošanas telpās)</t>
  </si>
  <si>
    <t>Logu un durvju nomaiņa (dzīvokļos)</t>
  </si>
  <si>
    <t>Dzelzsbetona spāru galu pagarināšana ar uzlikām 2m garas</t>
  </si>
  <si>
    <t>Kokmateriāli 70x240x2000mm, antiseptēti</t>
  </si>
  <si>
    <t>PVC loga bloks L-4 1600x900 mm (kāpņu telpas) verams</t>
  </si>
  <si>
    <t>PVC loga bloks L-4 1600x900 mm (kāpņu telpas) neverams</t>
  </si>
  <si>
    <t>Loga pielaiduma profila montāža</t>
  </si>
  <si>
    <t>Loga pielaiduma profils Sakret MAT A/02 2.5 m</t>
  </si>
  <si>
    <t>Stūra profila montāža</t>
  </si>
  <si>
    <t>Stūra profils Sakret MAT D/03.2 2.5 m</t>
  </si>
  <si>
    <t>Palodzes profila montāža</t>
  </si>
  <si>
    <t>Palodzes profils Sakret MAT D/08 2.5 m</t>
  </si>
  <si>
    <t>Cokols</t>
  </si>
  <si>
    <t>Fasāde</t>
  </si>
  <si>
    <t>Balkoni</t>
  </si>
  <si>
    <t>Balkona grīdu sagatavošana (parapetu skārda elementu demontāža, jumtu plakņu attīrīšana, jumta un parapetu bojāto vietu atsegšana un remonts)</t>
  </si>
  <si>
    <t>Grunts (Primer PU alchimic, vai analoga) ieklāšana</t>
  </si>
  <si>
    <t>Hidroizolācijas (Hiperdesmo alhimic, vai analoga) ieklāšana</t>
  </si>
  <si>
    <t>Skārda elementu montāža (vējmala, atloks)</t>
  </si>
  <si>
    <t>18</t>
  </si>
  <si>
    <t>19</t>
  </si>
  <si>
    <t>Apkures sistēmas remonts</t>
  </si>
  <si>
    <t xml:space="preserve">Apkures ģuļvadu siltumizolācijas remonts </t>
  </si>
  <si>
    <t>Esošās siltumizolācijas demontāža (Stikla vate, stikla šķiedras audums, rabicas siets, ģipsis)</t>
  </si>
  <si>
    <t>Siltumizol. čaula PSALCT 76x40</t>
  </si>
  <si>
    <t>Siltumizol. čaula PSALCT 60x40</t>
  </si>
  <si>
    <t>Siltumizol. čaula PSALCT 28x20</t>
  </si>
  <si>
    <t>Ventīļu nomaiņa un stāvvadu izlaides armatūras nomaiņa stāvvadu pieslēguma vietās</t>
  </si>
  <si>
    <t xml:space="preserve">vietas </t>
  </si>
  <si>
    <t>Balansēšanas vent.4017M 3/4" slīps Kvs 3,6 HERZ</t>
  </si>
  <si>
    <t>Lodveida ventilis i-ā 3/4'' 40bar ar saskrūvi GF</t>
  </si>
  <si>
    <t>Čuguna trejgabals - pāreja 3/4''-1/2''</t>
  </si>
  <si>
    <t>Čuguna nipelis 3/4''</t>
  </si>
  <si>
    <t>Palīgmateriāli (metāla griezējdiski, pakulas, vītņu smēre)</t>
  </si>
  <si>
    <t>kpl.</t>
  </si>
  <si>
    <t>Radiatoru noslēdzošās un regulējošās armatūras montāža dzīvokļos</t>
  </si>
  <si>
    <t>Termostatiskais 3-virzienu vārsts 3/4" V2075 Honeywell</t>
  </si>
  <si>
    <t>Termost.ventīlis ar zemu pretestību 3/4" HERZ</t>
  </si>
  <si>
    <t>Termogalva termostatiskajam vārstam M30x1.5 T100M Honeywell</t>
  </si>
  <si>
    <t>Atplūdes noslēgvārsts viencauruļu sistēmām ar palielinātu caurplūdi 3/4" V2421 Honeywell</t>
  </si>
  <si>
    <t>Čuguna saskrūve i-ā 3/4''</t>
  </si>
  <si>
    <t>Čuguna uzmava - pāreja i-i 3/4''-1/2''</t>
  </si>
  <si>
    <t>Radiatoru korķis 11/4''-3/4''</t>
  </si>
  <si>
    <t>Radiatoru korķis 11/4''-1/2''</t>
  </si>
  <si>
    <t>Radiatora mehāniskais atgaisotājs</t>
  </si>
  <si>
    <t>Radiatora korķis 1/2"</t>
  </si>
  <si>
    <t>Īso vītņu un palīgmateriālu komplekts</t>
  </si>
  <si>
    <t>Tērauda caurule melna Dn20 (26,9x2,8) ar veidgabaliem</t>
  </si>
  <si>
    <t>Tērauda caurule melna Dn15 (21,3x2,8)</t>
  </si>
  <si>
    <t>Radiatoru montāža dz. Nr.24 (pašlaik demontēti)</t>
  </si>
  <si>
    <t>Radiatoru montāža dz. Nr.43 (pašlaik demontēti)</t>
  </si>
  <si>
    <t xml:space="preserve">Apkures sistēmas tīrīšana </t>
  </si>
  <si>
    <t>Apkures sistēmas tīrīšana ar hidrauliskā impulsa metodi (45 dzīvokļu īpašumi, 138 radiatori, 16 stāvvadu pāri)</t>
  </si>
  <si>
    <t>Komunikāciju  (K1,Ū1,T3,T4) šahtu atvēršana, apdare</t>
  </si>
  <si>
    <t>Komunikāciju šahtu atvēršana kāpņu telpās (izfrēzēšana, izkalšana)</t>
  </si>
  <si>
    <t>Komunikāciju šahtu atvēršana dzīvokļos (izkalšana)</t>
  </si>
  <si>
    <t>Atveramu kokšķiedras plātņu vairogu montāža komunikāciju šahtām ēkas kāpņu telpās, paredzēt šahtu malu balto apdari</t>
  </si>
  <si>
    <t>Komunikāciju šahtu aizdare dzīvokļos ar ģipškartona plāksnēm, paredzēt revīzijas lūkas, veikt balto apdari</t>
  </si>
  <si>
    <t>Šahtas aizdare pārseguma vietās</t>
  </si>
  <si>
    <t>Ugunsdrošās poliuretāna putas 750 ml</t>
  </si>
  <si>
    <t>Ugunsdrošā manžete D110</t>
  </si>
  <si>
    <t>K1 stāvvadu maiņa</t>
  </si>
  <si>
    <t>Ķeta kanalizācijas stāvvadu D110 demontāža</t>
  </si>
  <si>
    <t>D110 PVC kanalizācijas stāvvadu montāža</t>
  </si>
  <si>
    <t xml:space="preserve">Caurule Dn110 </t>
  </si>
  <si>
    <r>
      <t>T.gabals D 110/45</t>
    </r>
    <r>
      <rPr>
        <vertAlign val="superscript"/>
        <sz val="9"/>
        <rFont val="Tahoma"/>
        <family val="2"/>
      </rPr>
      <t>O</t>
    </r>
  </si>
  <si>
    <r>
      <t>Līkums D 110/45</t>
    </r>
    <r>
      <rPr>
        <vertAlign val="superscript"/>
        <sz val="9"/>
        <rFont val="Tahoma"/>
        <family val="2"/>
      </rPr>
      <t>O</t>
    </r>
  </si>
  <si>
    <t>Metālisks stiprinājums ar dībeli</t>
  </si>
  <si>
    <t>PVC čuguna pāreja D110</t>
  </si>
  <si>
    <t>Remontuzmava D110</t>
  </si>
  <si>
    <t>Revīzija D 110</t>
  </si>
  <si>
    <t>Palīgmateriāli un stiprinājumi (katram stāvvadam)</t>
  </si>
  <si>
    <t>Pieslēgums dzīvokļa K1 sistēmai</t>
  </si>
  <si>
    <t>Caurule Dn110 l=30cm</t>
  </si>
  <si>
    <t xml:space="preserve">Palīgmateriāli un stiprinājumi </t>
  </si>
  <si>
    <t>Ū1 stāvvadu maiņa</t>
  </si>
  <si>
    <t>Tērauda ūdensvada caurules demontāža</t>
  </si>
  <si>
    <t>PPR caurules montāža stāvvadam</t>
  </si>
  <si>
    <t>PPR caurule D 32x4,4mm PN 16</t>
  </si>
  <si>
    <t>PP-R Trejgabals Ø32-Ø20-Ø32 Pipelife</t>
  </si>
  <si>
    <t>PP-R Uzmava Ø32 i Pipelife</t>
  </si>
  <si>
    <t>PP-R Lodveida ventilis Ø20 Pipelife</t>
  </si>
  <si>
    <t>PPR caurule Ø20 x 2,8mm PN16 (4m/gab) Pipelife</t>
  </si>
  <si>
    <t>PP-R Līkums Ø32 i-i 90° Pipelife</t>
  </si>
  <si>
    <t>Metālisks stiprinājums ar dībeli D 32</t>
  </si>
  <si>
    <t>Pieslēgums esošajiem dzīvokļu Ū1 tīkliem</t>
  </si>
  <si>
    <t>PP-R Pāreja ar vītni Ø20-1/2'' i-ā Pipelife</t>
  </si>
  <si>
    <t>Cinkota čuguna saskrūve 1/2" i-i</t>
  </si>
  <si>
    <t>Palīgmateriāli un stiprinājumi</t>
  </si>
  <si>
    <t>Noslēgarmatūras D32 montāža</t>
  </si>
  <si>
    <t>PP-R Lodveida ventilis Ø32 Pipelife</t>
  </si>
  <si>
    <t>Izteces ventīļu montāža stāvvados</t>
  </si>
  <si>
    <t>Kondensāta izolācija aukstajam ūdensvadam</t>
  </si>
  <si>
    <t>Siltumizolācija 35x13mm PE SANFLEX</t>
  </si>
  <si>
    <t>Mitrumizturīga līmlenta 50mmx50m</t>
  </si>
  <si>
    <t>T3 stāvvadu maiņa</t>
  </si>
  <si>
    <t>Pieslēgums esošajiem dzīvokļu T3 tīkliem</t>
  </si>
  <si>
    <t>Siltuma izolācija karstajam ūdensvadam</t>
  </si>
  <si>
    <t>Siltumizol. čaula PSALCT 35x30</t>
  </si>
  <si>
    <t>Līmlenta alumīnija 50mmx45m</t>
  </si>
  <si>
    <t>T4 stāvvadu un dvieļu žāvētāju nomaiņa</t>
  </si>
  <si>
    <t>Tērauda caurules demontāža</t>
  </si>
  <si>
    <t>Dvieļu žāvētāju demontāža</t>
  </si>
  <si>
    <t>PPR caurule D 25x3,6mm PN16</t>
  </si>
  <si>
    <t>PP-R Uzmava Ø25 i Pipelife</t>
  </si>
  <si>
    <t>PP-R Līkums Ø25 i-i 90° Pipelife</t>
  </si>
  <si>
    <t>Metālisks stiprinājums ar dībeli D 25</t>
  </si>
  <si>
    <t>Automātiskā atgaisotāja montāža (5. stāva dzīvokļos)</t>
  </si>
  <si>
    <t>Automatiskais atgaisotājs 1/2" centr. Rastelli</t>
  </si>
  <si>
    <t>PP-R Trejgabals Ø32-1/2"-Ø32 Pipelife</t>
  </si>
  <si>
    <t>1/2" lodveida ventīlis i-ā</t>
  </si>
  <si>
    <t>Dvieļu žāvētāju montāža</t>
  </si>
  <si>
    <t>Nerūsējošā tērauda dvieļu žāvētājs U 25 (1",33.7mm) H400 Rosella</t>
  </si>
  <si>
    <t>PP-R Pāreja ar vītni Ø32-1'' i-ā Pipelife</t>
  </si>
  <si>
    <t>PP-R Uzmava ar pāreju Ø32/Ø25 ā-i Pipelife</t>
  </si>
  <si>
    <t>Stiprinājums dvieļu žāvētājam</t>
  </si>
  <si>
    <t>Balansējošās un noslēdzošās armatūras montāža</t>
  </si>
  <si>
    <t>Balansēšanas vent.4217GM 3/4" taisns Kvs 6,88 HERZ</t>
  </si>
  <si>
    <t>PP-R Pāreja ar vītni Ø25-3/4'' i-ā Pipelife</t>
  </si>
  <si>
    <t>Cinkota čuguna saskrūve 3/4" i-ā</t>
  </si>
  <si>
    <t>PP-R Lodveida ventilis Ø25 Pipelife</t>
  </si>
  <si>
    <t>PP-R Trejgabals Ø25-Ø20-Ø20 Pipelife</t>
  </si>
  <si>
    <t>Ū1 guļvadu maiņa</t>
  </si>
  <si>
    <t>Tērauda cauruļu demontāža</t>
  </si>
  <si>
    <t>Aukstā ūdens patēriņa uzskaites mezgla D 50 montāža</t>
  </si>
  <si>
    <t>Ū1 D50 montāža</t>
  </si>
  <si>
    <t>PPR caurule Ø50 x 6,9mm PN16</t>
  </si>
  <si>
    <t>PPR uzmava D50</t>
  </si>
  <si>
    <t>PP-R Līkums Ø50 i-i 90° Pipelife</t>
  </si>
  <si>
    <t>Metālisks stiprinājums ar dībeli D 50</t>
  </si>
  <si>
    <t>Ū1 D40 montāža</t>
  </si>
  <si>
    <t>PPR caurule Ø40 x 5,5mm PN16</t>
  </si>
  <si>
    <t>PP-R Trejgabals Ø40-Ø32-Ø40 Pipelife</t>
  </si>
  <si>
    <t>PP-R Uzmava ar pāreju Ø40/Ø32 ā-i Pipelife</t>
  </si>
  <si>
    <t>Metālisks stiprinājums ar dībeli D 40</t>
  </si>
  <si>
    <t>Siltumizolācija 50x13mm PE SANFLEX</t>
  </si>
  <si>
    <t>Siltumizolācija 40x13mm PE SANFLEX</t>
  </si>
  <si>
    <t>T3 guļvadu maiņa</t>
  </si>
  <si>
    <t>T3 D50 montāža</t>
  </si>
  <si>
    <t>T3 D40 montāža</t>
  </si>
  <si>
    <t>Siltumizolācija karstajam ūdensvadam</t>
  </si>
  <si>
    <t>Siltumizol. čaula PSALCT 42x40</t>
  </si>
  <si>
    <t>Siltumizol. čaula PSALCT 54x40</t>
  </si>
  <si>
    <t>T4 guļvadu maiņa</t>
  </si>
  <si>
    <t>Siltumizolācija cirkulācijas ūdensvadam</t>
  </si>
  <si>
    <t>Automātiskā siltuma sadales mezgla remonts</t>
  </si>
  <si>
    <t>Apkures sadaļa</t>
  </si>
  <si>
    <t>Evoplus B 120/280,50 M</t>
  </si>
  <si>
    <t>Lineārais divceļu vārsts D50 ar piedziņu apkures loka vadībai</t>
  </si>
  <si>
    <t>Karstā ūdens sagatavošana</t>
  </si>
  <si>
    <t>Evoplus 110/180 San M</t>
  </si>
  <si>
    <t>Lineārais divceļu vārsts D32 ar piedziņu karstā ūdens  loka vadībai</t>
  </si>
  <si>
    <t xml:space="preserve">Vispārīgi </t>
  </si>
  <si>
    <t>Laikaapstākļu kontrolieris Oventrop regrtonic EH (komplēktā ietilpst temperatūras devēji) apkures un karstā ūdens loku vadībai</t>
  </si>
  <si>
    <t>Termometru nomaiņa siltummezglā</t>
  </si>
  <si>
    <t>Manometru nomaiņa siltummezglā</t>
  </si>
  <si>
    <t>Siltumizolācijas remonts siltummezglā</t>
  </si>
  <si>
    <t xml:space="preserve">Ēka apsekota </t>
  </si>
  <si>
    <r>
      <t xml:space="preserve">Tāme sastādīta </t>
    </r>
    <r>
      <rPr>
        <b/>
        <u val="single"/>
        <sz val="10"/>
        <rFont val="Tahoma"/>
        <family val="2"/>
      </rPr>
      <t>2013. gada tirgus cenās</t>
    </r>
    <r>
      <rPr>
        <sz val="10"/>
        <rFont val="Tahoma"/>
        <family val="2"/>
      </rPr>
      <t xml:space="preserve">, pamatojoties uz </t>
    </r>
    <r>
      <rPr>
        <b/>
        <u val="single"/>
        <sz val="10"/>
        <rFont val="Tahoma"/>
        <family val="2"/>
      </rPr>
      <t>Ēkas energoaudita pārskatu</t>
    </r>
    <r>
      <rPr>
        <sz val="10"/>
        <rFont val="Tahoma"/>
        <family val="2"/>
      </rPr>
      <t xml:space="preserve"> (</t>
    </r>
    <r>
      <rPr>
        <u val="single"/>
        <sz val="10"/>
        <rFont val="Tahoma"/>
        <family val="2"/>
      </rPr>
      <t>Ēkas energoadita pārskatu izstrādājis SIA "Ekopilsēta")</t>
    </r>
    <r>
      <rPr>
        <b/>
        <u val="single"/>
        <sz val="10"/>
        <rFont val="Tahoma"/>
        <family val="2"/>
      </rPr>
      <t xml:space="preserve"> </t>
    </r>
    <r>
      <rPr>
        <u val="single"/>
        <sz val="10"/>
        <rFont val="Tahoma"/>
        <family val="2"/>
      </rPr>
      <t xml:space="preserve">un </t>
    </r>
    <r>
      <rPr>
        <b/>
        <u val="single"/>
        <sz val="10"/>
        <rFont val="Tahoma"/>
        <family val="2"/>
      </rPr>
      <t>Būvniecības tāmes sagatavošanas darba uzdevumu</t>
    </r>
    <r>
      <rPr>
        <sz val="10"/>
        <rFont val="Tahoma"/>
        <family val="2"/>
      </rPr>
      <t>.</t>
    </r>
  </si>
  <si>
    <t xml:space="preserve">Sastādīja: ____________________ </t>
  </si>
  <si>
    <t>2013. gada ______________</t>
  </si>
  <si>
    <t xml:space="preserve">Pārbaudīja:______________________________ </t>
  </si>
  <si>
    <t xml:space="preserve">Sastādīja:______________________________ </t>
  </si>
  <si>
    <t>Tāme sastādīta 2013. gada ___________________</t>
  </si>
  <si>
    <t>Transporta izmaksas __ % no materiālu izmaksām:</t>
  </si>
  <si>
    <t xml:space="preserve">Sastādīja:________________________ </t>
  </si>
  <si>
    <t>Tāme sastādīta 2013. gada _________________</t>
  </si>
  <si>
    <t>Tāme sastādīta 2013. gada ___________</t>
  </si>
  <si>
    <t>Tāme sastādīta 2013. gada __________________</t>
  </si>
  <si>
    <t>Transporta izmaksas ___ % no materiālu izmaksām:</t>
  </si>
  <si>
    <t>Tāme sastādīta 2013. gada _________________________</t>
  </si>
  <si>
    <t>Tāme sastādīta 2013. gada _______________________</t>
  </si>
  <si>
    <t>Tāme sastādīta 2013. gada _____________________</t>
  </si>
  <si>
    <t>Tāme sastādīta: ____________________</t>
  </si>
  <si>
    <t>Virsizdevumi ___ %, tsk darba aizsardzībai (Ls):</t>
  </si>
  <si>
    <t>Peļņa __ % (Ls):</t>
  </si>
  <si>
    <t>Lokālā tāme Nr. 8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</si>
</sst>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12"/>
      <name val="LaMelio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4"/>
      <color indexed="10"/>
      <name val="Tahoma"/>
      <family val="2"/>
    </font>
    <font>
      <sz val="10"/>
      <color indexed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9"/>
      <color indexed="8"/>
      <name val="Tahoma"/>
      <family val="2"/>
    </font>
    <font>
      <sz val="9"/>
      <name val="Calibri"/>
      <family val="2"/>
    </font>
    <font>
      <sz val="8.3"/>
      <name val="Tahoma"/>
      <family val="2"/>
    </font>
    <font>
      <b/>
      <sz val="9"/>
      <color indexed="8"/>
      <name val="Tahoma"/>
      <family val="2"/>
    </font>
    <font>
      <u val="single"/>
      <sz val="11"/>
      <color indexed="12"/>
      <name val="Calibri"/>
      <family val="2"/>
    </font>
    <font>
      <vertAlign val="superscript"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/>
      <right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vertical="justify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Continuous" vertical="center" wrapText="1"/>
    </xf>
    <xf numFmtId="0" fontId="38" fillId="0" borderId="0" xfId="0" applyFont="1" applyFill="1" applyBorder="1" applyAlignment="1">
      <alignment horizontal="centerContinuous" vertical="center"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justify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9" fontId="8" fillId="0" borderId="16" xfId="67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3" fillId="0" borderId="0" xfId="60" applyFont="1" applyFill="1" applyBorder="1" applyAlignment="1">
      <alignment/>
      <protection/>
    </xf>
    <xf numFmtId="0" fontId="38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right"/>
    </xf>
    <xf numFmtId="0" fontId="9" fillId="0" borderId="19" xfId="0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right"/>
    </xf>
    <xf numFmtId="10" fontId="8" fillId="0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right"/>
    </xf>
    <xf numFmtId="1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horizontal="right" vertical="center"/>
    </xf>
    <xf numFmtId="10" fontId="9" fillId="0" borderId="23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1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right" vertical="center"/>
    </xf>
    <xf numFmtId="2" fontId="42" fillId="0" borderId="0" xfId="59" applyNumberFormat="1" applyFont="1" applyFill="1" applyAlignment="1">
      <alignment horizontal="left" vertical="top"/>
      <protection/>
    </xf>
    <xf numFmtId="2" fontId="3" fillId="0" borderId="0" xfId="59" applyNumberFormat="1" applyFont="1" applyAlignment="1">
      <alignment/>
      <protection/>
    </xf>
    <xf numFmtId="2" fontId="3" fillId="0" borderId="0" xfId="59" applyNumberFormat="1" applyFont="1">
      <alignment/>
      <protection/>
    </xf>
    <xf numFmtId="2" fontId="3" fillId="0" borderId="0" xfId="59" applyNumberFormat="1" applyFont="1">
      <alignment/>
      <protection/>
    </xf>
    <xf numFmtId="2" fontId="14" fillId="0" borderId="0" xfId="59" applyNumberFormat="1" applyFont="1">
      <alignment/>
      <protection/>
    </xf>
    <xf numFmtId="2" fontId="3" fillId="0" borderId="28" xfId="59" applyNumberFormat="1" applyFont="1" applyBorder="1">
      <alignment/>
      <protection/>
    </xf>
    <xf numFmtId="2" fontId="3" fillId="0" borderId="29" xfId="59" applyNumberFormat="1" applyFont="1" applyBorder="1" applyAlignment="1">
      <alignment horizontal="center"/>
      <protection/>
    </xf>
    <xf numFmtId="2" fontId="3" fillId="0" borderId="29" xfId="59" applyNumberFormat="1" applyFont="1" applyBorder="1" applyAlignment="1">
      <alignment horizontal="center" vertical="justify"/>
      <protection/>
    </xf>
    <xf numFmtId="2" fontId="3" fillId="0" borderId="29" xfId="59" applyNumberFormat="1" applyFont="1" applyFill="1" applyBorder="1" applyAlignment="1">
      <alignment horizontal="center"/>
      <protection/>
    </xf>
    <xf numFmtId="2" fontId="3" fillId="0" borderId="30" xfId="59" applyNumberFormat="1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3" fillId="0" borderId="0" xfId="59" applyNumberFormat="1" applyFont="1" applyAlignment="1">
      <alignment horizontal="center"/>
      <protection/>
    </xf>
    <xf numFmtId="2" fontId="14" fillId="0" borderId="31" xfId="59" applyNumberFormat="1" applyFont="1" applyBorder="1" applyAlignment="1">
      <alignment horizontal="center"/>
      <protection/>
    </xf>
    <xf numFmtId="4" fontId="2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8" fillId="24" borderId="19" xfId="68" applyNumberFormat="1" applyFont="1" applyFill="1" applyBorder="1" applyAlignment="1">
      <alignment horizontal="center"/>
      <protection/>
    </xf>
    <xf numFmtId="2" fontId="8" fillId="24" borderId="19" xfId="61" applyNumberFormat="1" applyFont="1" applyFill="1" applyBorder="1" applyAlignment="1">
      <alignment horizontal="center"/>
      <protection/>
    </xf>
    <xf numFmtId="49" fontId="8" fillId="24" borderId="19" xfId="61" applyNumberFormat="1" applyFont="1" applyFill="1" applyBorder="1" applyAlignment="1">
      <alignment horizontal="left"/>
      <protection/>
    </xf>
    <xf numFmtId="0" fontId="8" fillId="24" borderId="19" xfId="68" applyFont="1" applyFill="1" applyBorder="1" applyAlignment="1">
      <alignment horizontal="left" indent="2"/>
      <protection/>
    </xf>
    <xf numFmtId="2" fontId="8" fillId="24" borderId="19" xfId="55" applyNumberFormat="1" applyFont="1" applyFill="1" applyBorder="1" applyAlignment="1">
      <alignment horizontal="center"/>
      <protection/>
    </xf>
    <xf numFmtId="2" fontId="8" fillId="24" borderId="19" xfId="62" applyNumberFormat="1" applyFont="1" applyFill="1" applyBorder="1" applyAlignment="1">
      <alignment horizontal="center"/>
      <protection/>
    </xf>
    <xf numFmtId="0" fontId="8" fillId="24" borderId="19" xfId="68" applyFont="1" applyFill="1" applyBorder="1" applyAlignment="1">
      <alignment horizontal="left" vertical="justify" indent="2"/>
      <protection/>
    </xf>
    <xf numFmtId="0" fontId="8" fillId="24" borderId="18" xfId="0" applyFont="1" applyFill="1" applyBorder="1" applyAlignment="1">
      <alignment horizontal="center" vertical="top"/>
    </xf>
    <xf numFmtId="49" fontId="8" fillId="24" borderId="19" xfId="0" applyNumberFormat="1" applyFont="1" applyFill="1" applyBorder="1" applyAlignment="1">
      <alignment horizontal="center" vertical="top"/>
    </xf>
    <xf numFmtId="0" fontId="8" fillId="24" borderId="19" xfId="0" applyFont="1" applyFill="1" applyBorder="1" applyAlignment="1">
      <alignment vertical="justify"/>
    </xf>
    <xf numFmtId="0" fontId="8" fillId="24" borderId="19" xfId="0" applyFont="1" applyFill="1" applyBorder="1" applyAlignment="1">
      <alignment horizontal="center"/>
    </xf>
    <xf numFmtId="2" fontId="8" fillId="24" borderId="32" xfId="0" applyNumberFormat="1" applyFont="1" applyFill="1" applyBorder="1" applyAlignment="1">
      <alignment horizontal="center"/>
    </xf>
    <xf numFmtId="2" fontId="8" fillId="24" borderId="18" xfId="0" applyNumberFormat="1" applyFont="1" applyFill="1" applyBorder="1" applyAlignment="1">
      <alignment horizontal="center"/>
    </xf>
    <xf numFmtId="2" fontId="8" fillId="24" borderId="19" xfId="0" applyNumberFormat="1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2" fontId="8" fillId="24" borderId="33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 vertical="top"/>
    </xf>
    <xf numFmtId="0" fontId="8" fillId="24" borderId="19" xfId="0" applyFont="1" applyFill="1" applyBorder="1" applyAlignment="1">
      <alignment horizontal="left" indent="2"/>
    </xf>
    <xf numFmtId="2" fontId="8" fillId="24" borderId="21" xfId="0" applyNumberFormat="1" applyFont="1" applyFill="1" applyBorder="1" applyAlignment="1">
      <alignment horizontal="center"/>
    </xf>
    <xf numFmtId="0" fontId="8" fillId="24" borderId="18" xfId="68" applyFont="1" applyFill="1" applyBorder="1" applyAlignment="1">
      <alignment horizontal="center" vertical="top"/>
      <protection/>
    </xf>
    <xf numFmtId="0" fontId="8" fillId="24" borderId="19" xfId="68" applyFont="1" applyFill="1" applyBorder="1" applyAlignment="1">
      <alignment horizontal="center" vertical="top"/>
      <protection/>
    </xf>
    <xf numFmtId="0" fontId="8" fillId="24" borderId="19" xfId="68" applyFont="1" applyFill="1" applyBorder="1" applyAlignment="1">
      <alignment horizontal="center"/>
      <protection/>
    </xf>
    <xf numFmtId="2" fontId="8" fillId="24" borderId="32" xfId="68" applyNumberFormat="1" applyFont="1" applyFill="1" applyBorder="1" applyAlignment="1">
      <alignment horizontal="center"/>
      <protection/>
    </xf>
    <xf numFmtId="2" fontId="8" fillId="24" borderId="18" xfId="68" applyNumberFormat="1" applyFont="1" applyFill="1" applyBorder="1" applyAlignment="1">
      <alignment horizontal="center"/>
      <protection/>
    </xf>
    <xf numFmtId="2" fontId="8" fillId="24" borderId="11" xfId="68" applyNumberFormat="1" applyFont="1" applyFill="1" applyBorder="1" applyAlignment="1">
      <alignment horizontal="center"/>
      <protection/>
    </xf>
    <xf numFmtId="2" fontId="8" fillId="24" borderId="33" xfId="68" applyNumberFormat="1" applyFont="1" applyFill="1" applyBorder="1" applyAlignment="1">
      <alignment horizontal="center"/>
      <protection/>
    </xf>
    <xf numFmtId="0" fontId="8" fillId="24" borderId="18" xfId="61" applyFont="1" applyFill="1" applyBorder="1" applyAlignment="1">
      <alignment horizontal="center" vertical="top"/>
      <protection/>
    </xf>
    <xf numFmtId="2" fontId="8" fillId="24" borderId="18" xfId="62" applyNumberFormat="1" applyFont="1" applyFill="1" applyBorder="1" applyAlignment="1">
      <alignment horizontal="center"/>
      <protection/>
    </xf>
    <xf numFmtId="2" fontId="8" fillId="24" borderId="11" xfId="61" applyNumberFormat="1" applyFont="1" applyFill="1" applyBorder="1" applyAlignment="1">
      <alignment horizontal="center"/>
      <protection/>
    </xf>
    <xf numFmtId="2" fontId="8" fillId="24" borderId="33" xfId="61" applyNumberFormat="1" applyFont="1" applyFill="1" applyBorder="1" applyAlignment="1">
      <alignment horizontal="center"/>
      <protection/>
    </xf>
    <xf numFmtId="0" fontId="12" fillId="24" borderId="19" xfId="61" applyFont="1" applyFill="1" applyBorder="1" applyAlignment="1">
      <alignment horizontal="center" vertical="top"/>
      <protection/>
    </xf>
    <xf numFmtId="2" fontId="12" fillId="24" borderId="18" xfId="62" applyNumberFormat="1" applyFont="1" applyFill="1" applyBorder="1" applyAlignment="1">
      <alignment horizontal="center"/>
      <protection/>
    </xf>
    <xf numFmtId="49" fontId="8" fillId="24" borderId="18" xfId="68" applyNumberFormat="1" applyFont="1" applyFill="1" applyBorder="1" applyAlignment="1">
      <alignment horizontal="center" vertical="top"/>
      <protection/>
    </xf>
    <xf numFmtId="49" fontId="8" fillId="24" borderId="19" xfId="68" applyNumberFormat="1" applyFont="1" applyFill="1" applyBorder="1" applyAlignment="1">
      <alignment horizontal="center" vertical="top"/>
      <protection/>
    </xf>
    <xf numFmtId="0" fontId="8" fillId="24" borderId="19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 vertical="center" wrapText="1"/>
    </xf>
    <xf numFmtId="49" fontId="8" fillId="24" borderId="19" xfId="0" applyNumberFormat="1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left" indent="2"/>
    </xf>
    <xf numFmtId="0" fontId="9" fillId="24" borderId="19" xfId="0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49" fontId="8" fillId="24" borderId="18" xfId="0" applyNumberFormat="1" applyFont="1" applyFill="1" applyBorder="1" applyAlignment="1">
      <alignment horizontal="center" vertical="top"/>
    </xf>
    <xf numFmtId="0" fontId="40" fillId="24" borderId="0" xfId="0" applyFont="1" applyFill="1" applyBorder="1" applyAlignment="1">
      <alignment vertical="center"/>
    </xf>
    <xf numFmtId="49" fontId="8" fillId="24" borderId="16" xfId="0" applyNumberFormat="1" applyFont="1" applyFill="1" applyBorder="1" applyAlignment="1">
      <alignment horizontal="center" vertical="top"/>
    </xf>
    <xf numFmtId="49" fontId="8" fillId="24" borderId="12" xfId="0" applyNumberFormat="1" applyFont="1" applyFill="1" applyBorder="1" applyAlignment="1">
      <alignment horizontal="center" vertical="top"/>
    </xf>
    <xf numFmtId="0" fontId="8" fillId="24" borderId="12" xfId="0" applyFont="1" applyFill="1" applyBorder="1" applyAlignment="1">
      <alignment horizontal="center"/>
    </xf>
    <xf numFmtId="2" fontId="8" fillId="24" borderId="12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8" fillId="24" borderId="19" xfId="0" applyNumberFormat="1" applyFont="1" applyFill="1" applyBorder="1" applyAlignment="1">
      <alignment horizontal="left" vertical="center" indent="2"/>
    </xf>
    <xf numFmtId="2" fontId="8" fillId="24" borderId="32" xfId="63" applyNumberFormat="1" applyFont="1" applyFill="1" applyBorder="1" applyAlignment="1">
      <alignment horizontal="center"/>
      <protection/>
    </xf>
    <xf numFmtId="49" fontId="8" fillId="24" borderId="20" xfId="0" applyNumberFormat="1" applyFont="1" applyFill="1" applyBorder="1" applyAlignment="1">
      <alignment horizontal="center" vertical="top"/>
    </xf>
    <xf numFmtId="49" fontId="8" fillId="24" borderId="21" xfId="0" applyNumberFormat="1" applyFont="1" applyFill="1" applyBorder="1" applyAlignment="1">
      <alignment horizontal="center" vertical="top"/>
    </xf>
    <xf numFmtId="0" fontId="8" fillId="24" borderId="21" xfId="0" applyNumberFormat="1" applyFont="1" applyFill="1" applyBorder="1" applyAlignment="1">
      <alignment horizontal="left" vertical="center" indent="2"/>
    </xf>
    <xf numFmtId="0" fontId="8" fillId="24" borderId="21" xfId="0" applyFont="1" applyFill="1" applyBorder="1" applyAlignment="1">
      <alignment horizontal="center"/>
    </xf>
    <xf numFmtId="2" fontId="8" fillId="24" borderId="34" xfId="0" applyNumberFormat="1" applyFont="1" applyFill="1" applyBorder="1" applyAlignment="1">
      <alignment horizontal="center"/>
    </xf>
    <xf numFmtId="2" fontId="8" fillId="24" borderId="20" xfId="0" applyNumberFormat="1" applyFont="1" applyFill="1" applyBorder="1" applyAlignment="1">
      <alignment horizontal="center"/>
    </xf>
    <xf numFmtId="2" fontId="8" fillId="24" borderId="15" xfId="0" applyNumberFormat="1" applyFont="1" applyFill="1" applyBorder="1" applyAlignment="1">
      <alignment horizontal="center"/>
    </xf>
    <xf numFmtId="2" fontId="8" fillId="24" borderId="35" xfId="0" applyNumberFormat="1" applyFont="1" applyFill="1" applyBorder="1" applyAlignment="1">
      <alignment horizontal="center"/>
    </xf>
    <xf numFmtId="0" fontId="8" fillId="24" borderId="18" xfId="55" applyFont="1" applyFill="1" applyBorder="1" applyAlignment="1">
      <alignment horizontal="center" vertical="top"/>
      <protection/>
    </xf>
    <xf numFmtId="2" fontId="8" fillId="24" borderId="11" xfId="55" applyNumberFormat="1" applyFont="1" applyFill="1" applyBorder="1" applyAlignment="1">
      <alignment horizontal="center"/>
      <protection/>
    </xf>
    <xf numFmtId="2" fontId="8" fillId="24" borderId="33" xfId="55" applyNumberFormat="1" applyFont="1" applyFill="1" applyBorder="1" applyAlignment="1">
      <alignment horizontal="center"/>
      <protection/>
    </xf>
    <xf numFmtId="2" fontId="8" fillId="24" borderId="18" xfId="55" applyNumberFormat="1" applyFont="1" applyFill="1" applyBorder="1" applyAlignment="1">
      <alignment horizontal="center"/>
      <protection/>
    </xf>
    <xf numFmtId="0" fontId="8" fillId="24" borderId="19" xfId="0" applyFont="1" applyFill="1" applyBorder="1" applyAlignment="1">
      <alignment horizontal="left" vertical="justify" indent="2"/>
    </xf>
    <xf numFmtId="49" fontId="8" fillId="24" borderId="19" xfId="0" applyNumberFormat="1" applyFont="1" applyFill="1" applyBorder="1" applyAlignment="1">
      <alignment horizontal="center" vertical="justify"/>
    </xf>
    <xf numFmtId="49" fontId="8" fillId="24" borderId="19" xfId="0" applyNumberFormat="1" applyFont="1" applyFill="1" applyBorder="1" applyAlignment="1">
      <alignment horizontal="left" vertical="justify" indent="2"/>
    </xf>
    <xf numFmtId="0" fontId="8" fillId="24" borderId="21" xfId="0" applyFont="1" applyFill="1" applyBorder="1" applyAlignment="1">
      <alignment horizontal="center" vertical="top"/>
    </xf>
    <xf numFmtId="0" fontId="8" fillId="24" borderId="21" xfId="0" applyFont="1" applyFill="1" applyBorder="1" applyAlignment="1">
      <alignment horizontal="left" indent="2"/>
    </xf>
    <xf numFmtId="49" fontId="8" fillId="24" borderId="19" xfId="58" applyNumberFormat="1" applyFont="1" applyFill="1" applyBorder="1" applyAlignment="1">
      <alignment horizontal="center" vertical="top"/>
      <protection/>
    </xf>
    <xf numFmtId="2" fontId="8" fillId="24" borderId="19" xfId="58" applyNumberFormat="1" applyFont="1" applyFill="1" applyBorder="1" applyAlignment="1">
      <alignment horizontal="center"/>
      <protection/>
    </xf>
    <xf numFmtId="2" fontId="8" fillId="24" borderId="11" xfId="58" applyNumberFormat="1" applyFont="1" applyFill="1" applyBorder="1" applyAlignment="1">
      <alignment horizontal="center"/>
      <protection/>
    </xf>
    <xf numFmtId="2" fontId="8" fillId="24" borderId="19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 horizontal="justify" vertical="justify"/>
    </xf>
    <xf numFmtId="0" fontId="8" fillId="24" borderId="19" xfId="0" applyNumberFormat="1" applyFont="1" applyFill="1" applyBorder="1" applyAlignment="1">
      <alignment horizontal="left" vertical="justify" indent="2"/>
    </xf>
    <xf numFmtId="0" fontId="8" fillId="24" borderId="18" xfId="61" applyFont="1" applyFill="1" applyBorder="1" applyAlignment="1">
      <alignment horizontal="center"/>
      <protection/>
    </xf>
    <xf numFmtId="2" fontId="8" fillId="24" borderId="33" xfId="58" applyNumberFormat="1" applyFont="1" applyFill="1" applyBorder="1" applyAlignment="1">
      <alignment horizontal="center"/>
      <protection/>
    </xf>
    <xf numFmtId="2" fontId="8" fillId="24" borderId="18" xfId="58" applyNumberFormat="1" applyFont="1" applyFill="1" applyBorder="1" applyAlignment="1">
      <alignment horizontal="center"/>
      <protection/>
    </xf>
    <xf numFmtId="0" fontId="8" fillId="24" borderId="19" xfId="0" applyFont="1" applyFill="1" applyBorder="1" applyAlignment="1">
      <alignment horizontal="left" wrapText="1" indent="2"/>
    </xf>
    <xf numFmtId="0" fontId="8" fillId="24" borderId="19" xfId="56" applyFont="1" applyFill="1" applyBorder="1" applyAlignment="1">
      <alignment horizontal="center"/>
      <protection/>
    </xf>
    <xf numFmtId="2" fontId="8" fillId="24" borderId="19" xfId="56" applyNumberFormat="1" applyFont="1" applyFill="1" applyBorder="1" applyAlignment="1">
      <alignment horizontal="center"/>
      <protection/>
    </xf>
    <xf numFmtId="0" fontId="8" fillId="24" borderId="19" xfId="56" applyFont="1" applyFill="1" applyBorder="1" applyAlignment="1">
      <alignment horizontal="left" vertical="justify" indent="2"/>
      <protection/>
    </xf>
    <xf numFmtId="0" fontId="8" fillId="24" borderId="19" xfId="56" applyFont="1" applyFill="1" applyBorder="1" applyAlignment="1">
      <alignment horizontal="left" indent="2"/>
      <protection/>
    </xf>
    <xf numFmtId="0" fontId="8" fillId="24" borderId="19" xfId="61" applyFont="1" applyFill="1" applyBorder="1">
      <alignment/>
      <protection/>
    </xf>
    <xf numFmtId="49" fontId="8" fillId="24" borderId="19" xfId="0" applyNumberFormat="1" applyFont="1" applyFill="1" applyBorder="1" applyAlignment="1">
      <alignment horizontal="center"/>
    </xf>
    <xf numFmtId="49" fontId="8" fillId="24" borderId="19" xfId="0" applyNumberFormat="1" applyFont="1" applyFill="1" applyBorder="1" applyAlignment="1">
      <alignment horizontal="left" indent="2"/>
    </xf>
    <xf numFmtId="0" fontId="9" fillId="24" borderId="12" xfId="60" applyFont="1" applyFill="1" applyBorder="1" applyAlignment="1">
      <alignment horizontal="center" vertical="center" textRotation="90" wrapText="1"/>
      <protection/>
    </xf>
    <xf numFmtId="0" fontId="9" fillId="24" borderId="10" xfId="60" applyFont="1" applyFill="1" applyBorder="1" applyAlignment="1">
      <alignment horizontal="center" vertical="center" textRotation="90" wrapText="1"/>
      <protection/>
    </xf>
    <xf numFmtId="0" fontId="10" fillId="24" borderId="36" xfId="60" applyFont="1" applyFill="1" applyBorder="1" applyAlignment="1">
      <alignment textRotation="90"/>
      <protection/>
    </xf>
    <xf numFmtId="2" fontId="8" fillId="24" borderId="32" xfId="56" applyNumberFormat="1" applyFont="1" applyFill="1" applyBorder="1" applyAlignment="1">
      <alignment horizontal="center"/>
      <protection/>
    </xf>
    <xf numFmtId="0" fontId="9" fillId="24" borderId="37" xfId="60" applyFont="1" applyFill="1" applyBorder="1" applyAlignment="1">
      <alignment horizontal="center" vertical="center" textRotation="90" wrapText="1"/>
      <protection/>
    </xf>
    <xf numFmtId="0" fontId="8" fillId="24" borderId="19" xfId="68" applyFont="1" applyFill="1" applyBorder="1" applyAlignment="1">
      <alignment horizontal="center"/>
      <protection/>
    </xf>
    <xf numFmtId="2" fontId="8" fillId="24" borderId="19" xfId="68" applyNumberFormat="1" applyFont="1" applyFill="1" applyBorder="1" applyAlignment="1">
      <alignment horizontal="center"/>
      <protection/>
    </xf>
    <xf numFmtId="0" fontId="8" fillId="24" borderId="0" xfId="60" applyFont="1" applyFill="1">
      <alignment/>
      <protection/>
    </xf>
    <xf numFmtId="0" fontId="8" fillId="24" borderId="19" xfId="68" applyFont="1" applyFill="1" applyBorder="1" applyAlignment="1">
      <alignment horizontal="left" wrapText="1" indent="2"/>
      <protection/>
    </xf>
    <xf numFmtId="49" fontId="8" fillId="24" borderId="19" xfId="54" applyNumberFormat="1" applyFont="1" applyFill="1" applyBorder="1" applyAlignment="1">
      <alignment horizontal="center" vertical="top"/>
      <protection/>
    </xf>
    <xf numFmtId="0" fontId="8" fillId="24" borderId="19" xfId="54" applyFont="1" applyFill="1" applyBorder="1">
      <alignment/>
      <protection/>
    </xf>
    <xf numFmtId="0" fontId="8" fillId="24" borderId="19" xfId="54" applyFont="1" applyFill="1" applyBorder="1" applyAlignment="1">
      <alignment horizontal="center"/>
      <protection/>
    </xf>
    <xf numFmtId="2" fontId="8" fillId="24" borderId="19" xfId="54" applyNumberFormat="1" applyFont="1" applyFill="1" applyBorder="1" applyAlignment="1">
      <alignment horizontal="center"/>
      <protection/>
    </xf>
    <xf numFmtId="0" fontId="8" fillId="24" borderId="19" xfId="54" applyFont="1" applyFill="1" applyBorder="1" applyAlignment="1">
      <alignment horizontal="left" indent="2"/>
      <protection/>
    </xf>
    <xf numFmtId="49" fontId="8" fillId="24" borderId="19" xfId="54" applyNumberFormat="1" applyFont="1" applyFill="1" applyBorder="1" applyAlignment="1">
      <alignment horizontal="center" vertical="top"/>
      <protection/>
    </xf>
    <xf numFmtId="0" fontId="8" fillId="24" borderId="19" xfId="54" applyFont="1" applyFill="1" applyBorder="1" applyAlignment="1">
      <alignment horizontal="left" indent="2"/>
      <protection/>
    </xf>
    <xf numFmtId="0" fontId="8" fillId="24" borderId="19" xfId="54" applyFont="1" applyFill="1" applyBorder="1" applyAlignment="1">
      <alignment horizontal="center"/>
      <protection/>
    </xf>
    <xf numFmtId="2" fontId="8" fillId="24" borderId="19" xfId="54" applyNumberFormat="1" applyFont="1" applyFill="1" applyBorder="1" applyAlignment="1">
      <alignment horizontal="center"/>
      <protection/>
    </xf>
    <xf numFmtId="0" fontId="8" fillId="24" borderId="19" xfId="54" applyFont="1" applyFill="1" applyBorder="1">
      <alignment/>
      <protection/>
    </xf>
    <xf numFmtId="49" fontId="8" fillId="24" borderId="19" xfId="68" applyNumberFormat="1" applyFont="1" applyFill="1" applyBorder="1" applyAlignment="1">
      <alignment horizontal="center" vertical="top"/>
      <protection/>
    </xf>
    <xf numFmtId="0" fontId="8" fillId="24" borderId="19" xfId="68" applyFont="1" applyFill="1" applyBorder="1" applyAlignment="1">
      <alignment horizontal="left" vertical="justify" indent="2"/>
      <protection/>
    </xf>
    <xf numFmtId="0" fontId="8" fillId="24" borderId="19" xfId="0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 horizontal="left" indent="2"/>
    </xf>
    <xf numFmtId="49" fontId="8" fillId="24" borderId="19" xfId="61" applyNumberFormat="1" applyFont="1" applyFill="1" applyBorder="1" applyAlignment="1">
      <alignment horizontal="center"/>
      <protection/>
    </xf>
    <xf numFmtId="0" fontId="8" fillId="24" borderId="19" xfId="0" applyFont="1" applyFill="1" applyBorder="1" applyAlignment="1">
      <alignment horizontal="center" vertical="top"/>
    </xf>
    <xf numFmtId="0" fontId="8" fillId="24" borderId="19" xfId="0" applyFont="1" applyFill="1" applyBorder="1" applyAlignment="1">
      <alignment/>
    </xf>
    <xf numFmtId="0" fontId="8" fillId="24" borderId="12" xfId="0" applyFont="1" applyFill="1" applyBorder="1" applyAlignment="1">
      <alignment horizontal="left" indent="2"/>
    </xf>
    <xf numFmtId="0" fontId="8" fillId="24" borderId="18" xfId="0" applyFont="1" applyFill="1" applyBorder="1" applyAlignment="1">
      <alignment horizontal="center" vertical="top"/>
    </xf>
    <xf numFmtId="0" fontId="8" fillId="24" borderId="20" xfId="0" applyFont="1" applyFill="1" applyBorder="1" applyAlignment="1">
      <alignment horizontal="center" vertical="top"/>
    </xf>
    <xf numFmtId="0" fontId="8" fillId="24" borderId="21" xfId="0" applyFont="1" applyFill="1" applyBorder="1" applyAlignment="1">
      <alignment horizontal="center" vertical="top"/>
    </xf>
    <xf numFmtId="0" fontId="8" fillId="24" borderId="21" xfId="0" applyFont="1" applyFill="1" applyBorder="1" applyAlignment="1">
      <alignment horizontal="left" indent="2"/>
    </xf>
    <xf numFmtId="0" fontId="8" fillId="24" borderId="21" xfId="0" applyFont="1" applyFill="1" applyBorder="1" applyAlignment="1">
      <alignment horizontal="center"/>
    </xf>
    <xf numFmtId="2" fontId="8" fillId="24" borderId="21" xfId="0" applyNumberFormat="1" applyFont="1" applyFill="1" applyBorder="1" applyAlignment="1">
      <alignment horizontal="center"/>
    </xf>
    <xf numFmtId="2" fontId="8" fillId="24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24" borderId="19" xfId="0" applyFont="1" applyFill="1" applyBorder="1" applyAlignment="1">
      <alignment horizontal="left" vertical="justify" indent="2"/>
    </xf>
    <xf numFmtId="0" fontId="8" fillId="24" borderId="19" xfId="61" applyFont="1" applyFill="1" applyBorder="1" applyAlignment="1">
      <alignment horizontal="center" vertical="top"/>
      <protection/>
    </xf>
    <xf numFmtId="0" fontId="8" fillId="24" borderId="19" xfId="68" applyNumberFormat="1" applyFont="1" applyFill="1" applyBorder="1" applyAlignment="1">
      <alignment vertical="justify"/>
      <protection/>
    </xf>
    <xf numFmtId="0" fontId="8" fillId="24" borderId="19" xfId="0" applyNumberFormat="1" applyFont="1" applyFill="1" applyBorder="1" applyAlignment="1">
      <alignment vertical="justify"/>
    </xf>
    <xf numFmtId="0" fontId="8" fillId="24" borderId="19" xfId="61" applyFont="1" applyFill="1" applyBorder="1" applyAlignment="1">
      <alignment horizontal="center"/>
      <protection/>
    </xf>
    <xf numFmtId="49" fontId="8" fillId="24" borderId="18" xfId="58" applyNumberFormat="1" applyFont="1" applyFill="1" applyBorder="1" applyAlignment="1">
      <alignment horizontal="center" vertical="top"/>
      <protection/>
    </xf>
    <xf numFmtId="0" fontId="8" fillId="24" borderId="19" xfId="58" applyFont="1" applyFill="1" applyBorder="1" applyAlignment="1">
      <alignment/>
      <protection/>
    </xf>
    <xf numFmtId="2" fontId="43" fillId="24" borderId="19" xfId="61" applyNumberFormat="1" applyFont="1" applyFill="1" applyBorder="1" applyAlignment="1">
      <alignment horizontal="center"/>
      <protection/>
    </xf>
    <xf numFmtId="0" fontId="8" fillId="24" borderId="16" xfId="0" applyFont="1" applyFill="1" applyBorder="1" applyAlignment="1">
      <alignment horizontal="center" vertical="top"/>
    </xf>
    <xf numFmtId="0" fontId="8" fillId="24" borderId="12" xfId="0" applyFont="1" applyFill="1" applyBorder="1" applyAlignment="1">
      <alignment vertical="justify"/>
    </xf>
    <xf numFmtId="2" fontId="8" fillId="24" borderId="36" xfId="0" applyNumberFormat="1" applyFont="1" applyFill="1" applyBorder="1" applyAlignment="1">
      <alignment horizontal="center"/>
    </xf>
    <xf numFmtId="2" fontId="8" fillId="24" borderId="16" xfId="0" applyNumberFormat="1" applyFont="1" applyFill="1" applyBorder="1" applyAlignment="1">
      <alignment horizontal="center"/>
    </xf>
    <xf numFmtId="2" fontId="8" fillId="24" borderId="37" xfId="0" applyNumberFormat="1" applyFont="1" applyFill="1" applyBorder="1" applyAlignment="1">
      <alignment horizontal="center"/>
    </xf>
    <xf numFmtId="2" fontId="12" fillId="24" borderId="18" xfId="0" applyNumberFormat="1" applyFont="1" applyFill="1" applyBorder="1" applyAlignment="1">
      <alignment horizontal="center"/>
    </xf>
    <xf numFmtId="49" fontId="8" fillId="24" borderId="18" xfId="67" applyNumberFormat="1" applyFont="1" applyFill="1" applyBorder="1" applyAlignment="1">
      <alignment horizontal="center" vertical="center" wrapText="1"/>
      <protection/>
    </xf>
    <xf numFmtId="4" fontId="8" fillId="24" borderId="19" xfId="0" applyNumberFormat="1" applyFont="1" applyFill="1" applyBorder="1" applyAlignment="1">
      <alignment horizontal="center" vertical="center"/>
    </xf>
    <xf numFmtId="2" fontId="3" fillId="24" borderId="19" xfId="0" applyNumberFormat="1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4" borderId="19" xfId="59" applyNumberFormat="1" applyFont="1" applyFill="1" applyBorder="1" applyAlignment="1">
      <alignment horizontal="center"/>
      <protection/>
    </xf>
    <xf numFmtId="2" fontId="8" fillId="24" borderId="32" xfId="0" applyNumberFormat="1" applyFont="1" applyFill="1" applyBorder="1" applyAlignment="1">
      <alignment horizontal="center"/>
    </xf>
    <xf numFmtId="2" fontId="8" fillId="24" borderId="32" xfId="0" applyNumberFormat="1" applyFont="1" applyFill="1" applyBorder="1" applyAlignment="1">
      <alignment horizontal="center"/>
    </xf>
    <xf numFmtId="2" fontId="8" fillId="24" borderId="34" xfId="0" applyNumberFormat="1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 vertical="center" textRotation="90" wrapText="1"/>
    </xf>
    <xf numFmtId="2" fontId="8" fillId="24" borderId="33" xfId="0" applyNumberFormat="1" applyFont="1" applyFill="1" applyBorder="1" applyAlignment="1">
      <alignment horizontal="center"/>
    </xf>
    <xf numFmtId="2" fontId="8" fillId="24" borderId="35" xfId="0" applyNumberFormat="1" applyFont="1" applyFill="1" applyBorder="1" applyAlignment="1">
      <alignment horizontal="center"/>
    </xf>
    <xf numFmtId="2" fontId="8" fillId="24" borderId="18" xfId="0" applyNumberFormat="1" applyFont="1" applyFill="1" applyBorder="1" applyAlignment="1">
      <alignment horizontal="center"/>
    </xf>
    <xf numFmtId="0" fontId="10" fillId="24" borderId="18" xfId="0" applyFont="1" applyFill="1" applyBorder="1" applyAlignment="1">
      <alignment/>
    </xf>
    <xf numFmtId="2" fontId="8" fillId="24" borderId="20" xfId="0" applyNumberFormat="1" applyFont="1" applyFill="1" applyBorder="1" applyAlignment="1">
      <alignment horizontal="center"/>
    </xf>
    <xf numFmtId="0" fontId="8" fillId="24" borderId="19" xfId="67" applyFont="1" applyFill="1" applyBorder="1" applyAlignment="1">
      <alignment horizontal="center" vertical="center" wrapText="1"/>
      <protection/>
    </xf>
    <xf numFmtId="0" fontId="8" fillId="24" borderId="20" xfId="61" applyFont="1" applyFill="1" applyBorder="1" applyAlignment="1">
      <alignment horizontal="center" vertical="top"/>
      <protection/>
    </xf>
    <xf numFmtId="0" fontId="12" fillId="24" borderId="21" xfId="61" applyFont="1" applyFill="1" applyBorder="1" applyAlignment="1">
      <alignment horizontal="center" vertical="top"/>
      <protection/>
    </xf>
    <xf numFmtId="2" fontId="8" fillId="24" borderId="21" xfId="61" applyNumberFormat="1" applyFont="1" applyFill="1" applyBorder="1" applyAlignment="1">
      <alignment horizontal="center"/>
      <protection/>
    </xf>
    <xf numFmtId="2" fontId="8" fillId="24" borderId="21" xfId="62" applyNumberFormat="1" applyFont="1" applyFill="1" applyBorder="1" applyAlignment="1">
      <alignment horizontal="center"/>
      <protection/>
    </xf>
    <xf numFmtId="2" fontId="8" fillId="24" borderId="15" xfId="61" applyNumberFormat="1" applyFont="1" applyFill="1" applyBorder="1" applyAlignment="1">
      <alignment horizontal="center"/>
      <protection/>
    </xf>
    <xf numFmtId="2" fontId="8" fillId="24" borderId="35" xfId="61" applyNumberFormat="1" applyFont="1" applyFill="1" applyBorder="1" applyAlignment="1">
      <alignment horizontal="center"/>
      <protection/>
    </xf>
    <xf numFmtId="2" fontId="12" fillId="24" borderId="20" xfId="62" applyNumberFormat="1" applyFont="1" applyFill="1" applyBorder="1" applyAlignment="1">
      <alignment horizontal="center"/>
      <protection/>
    </xf>
    <xf numFmtId="49" fontId="8" fillId="24" borderId="20" xfId="67" applyNumberFormat="1" applyFont="1" applyFill="1" applyBorder="1" applyAlignment="1">
      <alignment horizontal="center" vertical="center" wrapText="1"/>
      <protection/>
    </xf>
    <xf numFmtId="0" fontId="8" fillId="24" borderId="21" xfId="67" applyFont="1" applyFill="1" applyBorder="1" applyAlignment="1">
      <alignment horizontal="center" vertical="center" wrapText="1"/>
      <protection/>
    </xf>
    <xf numFmtId="4" fontId="8" fillId="24" borderId="21" xfId="0" applyNumberFormat="1" applyFont="1" applyFill="1" applyBorder="1" applyAlignment="1">
      <alignment horizontal="center" vertical="center"/>
    </xf>
    <xf numFmtId="2" fontId="3" fillId="24" borderId="21" xfId="0" applyNumberFormat="1" applyFont="1" applyFill="1" applyBorder="1" applyAlignment="1">
      <alignment horizontal="center" vertical="center"/>
    </xf>
    <xf numFmtId="2" fontId="3" fillId="24" borderId="15" xfId="0" applyNumberFormat="1" applyFont="1" applyFill="1" applyBorder="1" applyAlignment="1">
      <alignment horizontal="center" vertical="center"/>
    </xf>
    <xf numFmtId="49" fontId="6" fillId="24" borderId="0" xfId="60" applyNumberFormat="1" applyFont="1" applyFill="1" applyBorder="1" applyAlignment="1">
      <alignment horizontal="center" vertical="center"/>
      <protection/>
    </xf>
    <xf numFmtId="0" fontId="5" fillId="24" borderId="0" xfId="60" applyFont="1" applyFill="1" applyBorder="1" applyAlignment="1">
      <alignment horizontal="left" vertical="center"/>
      <protection/>
    </xf>
    <xf numFmtId="49" fontId="12" fillId="24" borderId="0" xfId="60" applyNumberFormat="1" applyFont="1" applyFill="1" applyBorder="1" applyAlignment="1">
      <alignment horizontal="center" vertical="center" wrapText="1"/>
      <protection/>
    </xf>
    <xf numFmtId="0" fontId="8" fillId="24" borderId="0" xfId="60" applyFont="1" applyFill="1" applyBorder="1" applyAlignment="1">
      <alignment horizontal="centerContinuous" vertical="center" wrapText="1"/>
      <protection/>
    </xf>
    <xf numFmtId="0" fontId="8" fillId="24" borderId="0" xfId="60" applyFont="1" applyFill="1" applyBorder="1" applyAlignment="1">
      <alignment horizontal="centerContinuous" vertical="center"/>
      <protection/>
    </xf>
    <xf numFmtId="0" fontId="5" fillId="24" borderId="0" xfId="60" applyFont="1" applyFill="1" applyBorder="1" applyAlignment="1">
      <alignment vertical="center"/>
      <protection/>
    </xf>
    <xf numFmtId="0" fontId="8" fillId="24" borderId="0" xfId="60" applyFont="1" applyFill="1" applyBorder="1" applyAlignment="1">
      <alignment vertical="center" wrapText="1"/>
      <protection/>
    </xf>
    <xf numFmtId="0" fontId="8" fillId="24" borderId="0" xfId="60" applyFont="1" applyFill="1" applyBorder="1" applyAlignment="1">
      <alignment horizontal="center" vertical="center"/>
      <protection/>
    </xf>
    <xf numFmtId="0" fontId="9" fillId="24" borderId="0" xfId="60" applyFont="1" applyFill="1" applyBorder="1" applyAlignment="1">
      <alignment vertical="center"/>
      <protection/>
    </xf>
    <xf numFmtId="49" fontId="8" fillId="24" borderId="0" xfId="60" applyNumberFormat="1" applyFont="1" applyFill="1" applyBorder="1" applyAlignment="1">
      <alignment horizontal="center" vertical="center" wrapText="1"/>
      <protection/>
    </xf>
    <xf numFmtId="0" fontId="8" fillId="24" borderId="0" xfId="60" applyFont="1" applyFill="1" applyBorder="1" applyAlignment="1">
      <alignment horizontal="left" vertical="center"/>
      <protection/>
    </xf>
    <xf numFmtId="2" fontId="9" fillId="24" borderId="0" xfId="60" applyNumberFormat="1" applyFont="1" applyFill="1" applyBorder="1" applyAlignment="1">
      <alignment horizontal="left" vertical="center"/>
      <protection/>
    </xf>
    <xf numFmtId="0" fontId="9" fillId="24" borderId="0" xfId="60" applyFont="1" applyFill="1" applyBorder="1" applyAlignment="1">
      <alignment horizontal="centerContinuous" vertical="center"/>
      <protection/>
    </xf>
    <xf numFmtId="0" fontId="9" fillId="24" borderId="38" xfId="60" applyFont="1" applyFill="1" applyBorder="1" applyAlignment="1">
      <alignment horizontal="center" vertical="center" textRotation="90" wrapText="1"/>
      <protection/>
    </xf>
    <xf numFmtId="0" fontId="9" fillId="24" borderId="39" xfId="60" applyFont="1" applyFill="1" applyBorder="1" applyAlignment="1">
      <alignment horizontal="center" vertical="center" textRotation="90" wrapText="1"/>
      <protection/>
    </xf>
    <xf numFmtId="0" fontId="9" fillId="24" borderId="40" xfId="60" applyFont="1" applyFill="1" applyBorder="1" applyAlignment="1">
      <alignment horizontal="center" vertical="center" textRotation="90" wrapText="1"/>
      <protection/>
    </xf>
    <xf numFmtId="0" fontId="8" fillId="24" borderId="19" xfId="0" applyNumberFormat="1" applyFont="1" applyFill="1" applyBorder="1" applyAlignment="1">
      <alignment horizontal="center"/>
    </xf>
    <xf numFmtId="2" fontId="8" fillId="24" borderId="41" xfId="60" applyNumberFormat="1" applyFont="1" applyFill="1" applyBorder="1" applyAlignment="1">
      <alignment horizontal="center"/>
      <protection/>
    </xf>
    <xf numFmtId="2" fontId="8" fillId="24" borderId="23" xfId="60" applyNumberFormat="1" applyFont="1" applyFill="1" applyBorder="1" applyAlignment="1">
      <alignment horizontal="center"/>
      <protection/>
    </xf>
    <xf numFmtId="2" fontId="8" fillId="24" borderId="13" xfId="60" applyNumberFormat="1" applyFont="1" applyFill="1" applyBorder="1" applyAlignment="1">
      <alignment horizontal="center"/>
      <protection/>
    </xf>
    <xf numFmtId="0" fontId="8" fillId="24" borderId="42" xfId="60" applyFont="1" applyFill="1" applyBorder="1">
      <alignment/>
      <protection/>
    </xf>
    <xf numFmtId="0" fontId="8" fillId="24" borderId="25" xfId="60" applyFont="1" applyFill="1" applyBorder="1">
      <alignment/>
      <protection/>
    </xf>
    <xf numFmtId="2" fontId="8" fillId="24" borderId="14" xfId="60" applyNumberFormat="1" applyFont="1" applyFill="1" applyBorder="1" applyAlignment="1">
      <alignment horizontal="center"/>
      <protection/>
    </xf>
    <xf numFmtId="2" fontId="8" fillId="24" borderId="43" xfId="60" applyNumberFormat="1" applyFont="1" applyFill="1" applyBorder="1" applyAlignment="1">
      <alignment horizontal="center"/>
      <protection/>
    </xf>
    <xf numFmtId="2" fontId="8" fillId="24" borderId="27" xfId="60" applyNumberFormat="1" applyFont="1" applyFill="1" applyBorder="1" applyAlignment="1">
      <alignment horizontal="center"/>
      <protection/>
    </xf>
    <xf numFmtId="2" fontId="8" fillId="24" borderId="17" xfId="60" applyNumberFormat="1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right" vertical="center" wrapText="1"/>
    </xf>
    <xf numFmtId="49" fontId="8" fillId="24" borderId="0" xfId="60" applyNumberFormat="1" applyFont="1" applyFill="1">
      <alignment/>
      <protection/>
    </xf>
    <xf numFmtId="0" fontId="8" fillId="24" borderId="0" xfId="0" applyFont="1" applyFill="1" applyBorder="1" applyAlignment="1">
      <alignment horizontal="right"/>
    </xf>
    <xf numFmtId="0" fontId="8" fillId="24" borderId="19" xfId="0" applyFont="1" applyFill="1" applyBorder="1" applyAlignment="1">
      <alignment/>
    </xf>
    <xf numFmtId="49" fontId="8" fillId="24" borderId="19" xfId="61" applyNumberFormat="1" applyFont="1" applyFill="1" applyBorder="1" applyAlignment="1">
      <alignment horizontal="center" vertical="top"/>
      <protection/>
    </xf>
    <xf numFmtId="0" fontId="8" fillId="24" borderId="19" xfId="0" applyFont="1" applyFill="1" applyBorder="1" applyAlignment="1">
      <alignment wrapText="1"/>
    </xf>
    <xf numFmtId="2" fontId="8" fillId="24" borderId="22" xfId="60" applyNumberFormat="1" applyFont="1" applyFill="1" applyBorder="1" applyAlignment="1">
      <alignment horizontal="center"/>
      <protection/>
    </xf>
    <xf numFmtId="2" fontId="8" fillId="24" borderId="44" xfId="60" applyNumberFormat="1" applyFont="1" applyFill="1" applyBorder="1" applyAlignment="1">
      <alignment horizontal="center"/>
      <protection/>
    </xf>
    <xf numFmtId="2" fontId="8" fillId="24" borderId="26" xfId="60" applyNumberFormat="1" applyFont="1" applyFill="1" applyBorder="1" applyAlignment="1">
      <alignment horizontal="center"/>
      <protection/>
    </xf>
    <xf numFmtId="0" fontId="21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2" fontId="3" fillId="25" borderId="19" xfId="59" applyNumberFormat="1" applyFont="1" applyFill="1" applyBorder="1" applyAlignment="1">
      <alignment horizontal="center"/>
      <protection/>
    </xf>
    <xf numFmtId="2" fontId="8" fillId="25" borderId="19" xfId="0" applyNumberFormat="1" applyFont="1" applyFill="1" applyBorder="1" applyAlignment="1">
      <alignment horizontal="center"/>
    </xf>
    <xf numFmtId="0" fontId="9" fillId="24" borderId="12" xfId="60" applyFont="1" applyFill="1" applyBorder="1" applyAlignment="1">
      <alignment horizontal="center" vertical="center" wrapText="1"/>
      <protection/>
    </xf>
    <xf numFmtId="0" fontId="6" fillId="24" borderId="0" xfId="60" applyFont="1" applyFill="1" applyBorder="1" applyAlignment="1">
      <alignment horizontal="center" vertical="center"/>
      <protection/>
    </xf>
    <xf numFmtId="0" fontId="9" fillId="24" borderId="12" xfId="60" applyFont="1" applyFill="1" applyBorder="1" applyAlignment="1">
      <alignment horizontal="center" vertical="center" textRotation="90"/>
      <protection/>
    </xf>
    <xf numFmtId="0" fontId="9" fillId="24" borderId="16" xfId="60" applyFont="1" applyFill="1" applyBorder="1" applyAlignment="1">
      <alignment horizontal="center" vertical="center" textRotation="90" wrapText="1"/>
      <protection/>
    </xf>
    <xf numFmtId="0" fontId="9" fillId="24" borderId="45" xfId="60" applyFont="1" applyFill="1" applyBorder="1" applyAlignment="1">
      <alignment horizontal="center" vertical="center" textRotation="90" wrapText="1"/>
      <protection/>
    </xf>
    <xf numFmtId="49" fontId="9" fillId="24" borderId="12" xfId="60" applyNumberFormat="1" applyFont="1" applyFill="1" applyBorder="1" applyAlignment="1">
      <alignment horizontal="center" vertical="center" textRotation="90" wrapText="1"/>
      <protection/>
    </xf>
    <xf numFmtId="0" fontId="8" fillId="24" borderId="19" xfId="0" applyFont="1" applyFill="1" applyBorder="1" applyAlignment="1">
      <alignment horizontal="left" vertical="center" wrapText="1" indent="2"/>
    </xf>
    <xf numFmtId="0" fontId="8" fillId="24" borderId="33" xfId="0" applyFont="1" applyFill="1" applyBorder="1" applyAlignment="1">
      <alignment/>
    </xf>
    <xf numFmtId="2" fontId="9" fillId="24" borderId="19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8" fillId="24" borderId="20" xfId="54" applyFont="1" applyFill="1" applyBorder="1" applyAlignment="1">
      <alignment horizontal="center" vertical="top"/>
      <protection/>
    </xf>
    <xf numFmtId="49" fontId="8" fillId="24" borderId="21" xfId="54" applyNumberFormat="1" applyFont="1" applyFill="1" applyBorder="1" applyAlignment="1">
      <alignment horizontal="center" vertical="top"/>
      <protection/>
    </xf>
    <xf numFmtId="0" fontId="8" fillId="24" borderId="21" xfId="54" applyFont="1" applyFill="1" applyBorder="1" applyAlignment="1">
      <alignment horizontal="left" indent="2"/>
      <protection/>
    </xf>
    <xf numFmtId="0" fontId="8" fillId="24" borderId="21" xfId="54" applyFont="1" applyFill="1" applyBorder="1" applyAlignment="1">
      <alignment horizontal="center"/>
      <protection/>
    </xf>
    <xf numFmtId="2" fontId="8" fillId="24" borderId="21" xfId="54" applyNumberFormat="1" applyFont="1" applyFill="1" applyBorder="1" applyAlignment="1">
      <alignment horizontal="center"/>
      <protection/>
    </xf>
    <xf numFmtId="0" fontId="8" fillId="24" borderId="21" xfId="54" applyFont="1" applyFill="1" applyBorder="1">
      <alignment/>
      <protection/>
    </xf>
    <xf numFmtId="2" fontId="8" fillId="24" borderId="15" xfId="54" applyNumberFormat="1" applyFont="1" applyFill="1" applyBorder="1" applyAlignment="1">
      <alignment horizontal="center"/>
      <protection/>
    </xf>
    <xf numFmtId="2" fontId="8" fillId="24" borderId="34" xfId="54" applyNumberFormat="1" applyFont="1" applyFill="1" applyBorder="1" applyAlignment="1">
      <alignment horizontal="center"/>
      <protection/>
    </xf>
    <xf numFmtId="2" fontId="8" fillId="24" borderId="20" xfId="54" applyNumberFormat="1" applyFont="1" applyFill="1" applyBorder="1" applyAlignment="1">
      <alignment horizontal="center"/>
      <protection/>
    </xf>
    <xf numFmtId="49" fontId="8" fillId="24" borderId="16" xfId="67" applyNumberFormat="1" applyFont="1" applyFill="1" applyBorder="1" applyAlignment="1">
      <alignment horizontal="center" vertical="center" wrapText="1"/>
      <protection/>
    </xf>
    <xf numFmtId="0" fontId="8" fillId="24" borderId="12" xfId="67" applyFont="1" applyFill="1" applyBorder="1" applyAlignment="1">
      <alignment horizontal="center" vertical="center" wrapText="1"/>
      <protection/>
    </xf>
    <xf numFmtId="4" fontId="8" fillId="24" borderId="12" xfId="0" applyNumberFormat="1" applyFont="1" applyFill="1" applyBorder="1" applyAlignment="1">
      <alignment horizontal="center" vertical="center"/>
    </xf>
    <xf numFmtId="2" fontId="3" fillId="24" borderId="12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/>
    </xf>
    <xf numFmtId="0" fontId="8" fillId="24" borderId="16" xfId="61" applyFont="1" applyFill="1" applyBorder="1" applyAlignment="1">
      <alignment horizontal="center" vertical="top"/>
      <protection/>
    </xf>
    <xf numFmtId="0" fontId="8" fillId="24" borderId="12" xfId="61" applyFont="1" applyFill="1" applyBorder="1" applyAlignment="1">
      <alignment horizontal="center" vertical="top"/>
      <protection/>
    </xf>
    <xf numFmtId="0" fontId="8" fillId="24" borderId="12" xfId="0" applyNumberFormat="1" applyFont="1" applyFill="1" applyBorder="1" applyAlignment="1">
      <alignment vertical="justify"/>
    </xf>
    <xf numFmtId="2" fontId="8" fillId="24" borderId="16" xfId="62" applyNumberFormat="1" applyFont="1" applyFill="1" applyBorder="1" applyAlignment="1">
      <alignment horizontal="center"/>
      <protection/>
    </xf>
    <xf numFmtId="2" fontId="8" fillId="24" borderId="12" xfId="61" applyNumberFormat="1" applyFont="1" applyFill="1" applyBorder="1" applyAlignment="1">
      <alignment horizontal="center"/>
      <protection/>
    </xf>
    <xf numFmtId="2" fontId="8" fillId="24" borderId="10" xfId="61" applyNumberFormat="1" applyFont="1" applyFill="1" applyBorder="1" applyAlignment="1">
      <alignment horizontal="center"/>
      <protection/>
    </xf>
    <xf numFmtId="2" fontId="8" fillId="24" borderId="37" xfId="61" applyNumberFormat="1" applyFont="1" applyFill="1" applyBorder="1" applyAlignment="1">
      <alignment horizontal="center"/>
      <protection/>
    </xf>
    <xf numFmtId="0" fontId="8" fillId="24" borderId="19" xfId="58" applyFont="1" applyFill="1" applyBorder="1" applyAlignment="1">
      <alignment vertical="justify"/>
      <protection/>
    </xf>
    <xf numFmtId="0" fontId="8" fillId="24" borderId="19" xfId="58" applyFont="1" applyFill="1" applyBorder="1" applyAlignment="1">
      <alignment horizontal="center"/>
      <protection/>
    </xf>
    <xf numFmtId="2" fontId="8" fillId="24" borderId="32" xfId="58" applyNumberFormat="1" applyFont="1" applyFill="1" applyBorder="1" applyAlignment="1">
      <alignment horizontal="center"/>
      <protection/>
    </xf>
    <xf numFmtId="0" fontId="8" fillId="24" borderId="19" xfId="68" applyFont="1" applyFill="1" applyBorder="1" applyAlignment="1">
      <alignment vertical="justify"/>
      <protection/>
    </xf>
    <xf numFmtId="49" fontId="8" fillId="24" borderId="19" xfId="61" applyNumberFormat="1" applyFont="1" applyFill="1" applyBorder="1" applyAlignment="1">
      <alignment horizontal="center" vertical="justify"/>
      <protection/>
    </xf>
    <xf numFmtId="0" fontId="8" fillId="24" borderId="19" xfId="56" applyFont="1" applyFill="1" applyBorder="1" applyAlignment="1">
      <alignment vertical="justify"/>
      <protection/>
    </xf>
    <xf numFmtId="0" fontId="8" fillId="24" borderId="19" xfId="68" applyNumberFormat="1" applyFont="1" applyFill="1" applyBorder="1" applyAlignment="1">
      <alignment/>
      <protection/>
    </xf>
    <xf numFmtId="0" fontId="8" fillId="24" borderId="19" xfId="68" applyNumberFormat="1" applyFont="1" applyFill="1" applyBorder="1" applyAlignment="1">
      <alignment horizontal="center"/>
      <protection/>
    </xf>
    <xf numFmtId="0" fontId="8" fillId="24" borderId="19" xfId="0" applyFont="1" applyFill="1" applyBorder="1" applyAlignment="1">
      <alignment vertical="justify"/>
    </xf>
    <xf numFmtId="2" fontId="8" fillId="24" borderId="18" xfId="0" applyNumberFormat="1" applyFont="1" applyFill="1" applyBorder="1" applyAlignment="1">
      <alignment horizontal="center"/>
    </xf>
    <xf numFmtId="0" fontId="8" fillId="24" borderId="19" xfId="0" applyFont="1" applyFill="1" applyBorder="1" applyAlignment="1">
      <alignment horizontal="justify"/>
    </xf>
    <xf numFmtId="0" fontId="8" fillId="24" borderId="19" xfId="68" applyNumberFormat="1" applyFont="1" applyFill="1" applyBorder="1" applyAlignment="1">
      <alignment horizontal="left" vertical="justify"/>
      <protection/>
    </xf>
    <xf numFmtId="0" fontId="8" fillId="24" borderId="19" xfId="68" applyFont="1" applyFill="1" applyBorder="1" applyAlignment="1">
      <alignment horizontal="center"/>
      <protection/>
    </xf>
    <xf numFmtId="2" fontId="8" fillId="24" borderId="32" xfId="68" applyNumberFormat="1" applyFont="1" applyFill="1" applyBorder="1" applyAlignment="1">
      <alignment horizontal="center"/>
      <protection/>
    </xf>
    <xf numFmtId="2" fontId="8" fillId="24" borderId="18" xfId="68" applyNumberFormat="1" applyFont="1" applyFill="1" applyBorder="1" applyAlignment="1">
      <alignment horizontal="center"/>
      <protection/>
    </xf>
    <xf numFmtId="0" fontId="12" fillId="24" borderId="18" xfId="61" applyFont="1" applyFill="1" applyBorder="1" applyAlignment="1">
      <alignment horizontal="center"/>
      <protection/>
    </xf>
    <xf numFmtId="0" fontId="8" fillId="24" borderId="19" xfId="68" applyFont="1" applyFill="1" applyBorder="1" applyAlignment="1">
      <alignment horizontal="left" indent="2"/>
      <protection/>
    </xf>
    <xf numFmtId="0" fontId="10" fillId="24" borderId="18" xfId="68" applyFont="1" applyFill="1" applyBorder="1">
      <alignment/>
      <protection/>
    </xf>
    <xf numFmtId="0" fontId="8" fillId="0" borderId="18" xfId="67" applyFont="1" applyFill="1" applyBorder="1" applyAlignment="1">
      <alignment horizontal="left" vertical="center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justify"/>
    </xf>
    <xf numFmtId="0" fontId="9" fillId="24" borderId="19" xfId="60" applyFont="1" applyFill="1" applyBorder="1" applyAlignment="1">
      <alignment horizontal="center" vertical="center" textRotation="90" wrapText="1"/>
      <protection/>
    </xf>
    <xf numFmtId="49" fontId="9" fillId="24" borderId="19" xfId="60" applyNumberFormat="1" applyFont="1" applyFill="1" applyBorder="1" applyAlignment="1">
      <alignment horizontal="center" vertical="center" textRotation="90" wrapText="1"/>
      <protection/>
    </xf>
    <xf numFmtId="0" fontId="9" fillId="24" borderId="19" xfId="60" applyFont="1" applyFill="1" applyBorder="1" applyAlignment="1">
      <alignment horizontal="center" vertical="center" textRotation="90"/>
      <protection/>
    </xf>
    <xf numFmtId="0" fontId="10" fillId="24" borderId="19" xfId="60" applyFont="1" applyFill="1" applyBorder="1" applyAlignment="1">
      <alignment textRotation="90"/>
      <protection/>
    </xf>
    <xf numFmtId="2" fontId="12" fillId="24" borderId="19" xfId="62" applyNumberFormat="1" applyFont="1" applyFill="1" applyBorder="1" applyAlignment="1">
      <alignment horizontal="center"/>
      <protection/>
    </xf>
    <xf numFmtId="0" fontId="8" fillId="24" borderId="19" xfId="54" applyFont="1" applyFill="1" applyBorder="1" applyAlignment="1">
      <alignment horizontal="center" vertical="top"/>
      <protection/>
    </xf>
    <xf numFmtId="0" fontId="8" fillId="24" borderId="19" xfId="54" applyFont="1" applyFill="1" applyBorder="1" applyAlignment="1">
      <alignment horizontal="center" vertical="top"/>
      <protection/>
    </xf>
    <xf numFmtId="2" fontId="8" fillId="24" borderId="19" xfId="63" applyNumberFormat="1" applyFont="1" applyFill="1" applyBorder="1" applyAlignment="1">
      <alignment horizontal="center"/>
      <protection/>
    </xf>
    <xf numFmtId="0" fontId="8" fillId="24" borderId="38" xfId="54" applyFont="1" applyFill="1" applyBorder="1" applyAlignment="1">
      <alignment horizontal="center" vertical="top"/>
      <protection/>
    </xf>
    <xf numFmtId="49" fontId="8" fillId="24" borderId="38" xfId="54" applyNumberFormat="1" applyFont="1" applyFill="1" applyBorder="1" applyAlignment="1">
      <alignment horizontal="center" vertical="top"/>
      <protection/>
    </xf>
    <xf numFmtId="0" fontId="9" fillId="24" borderId="38" xfId="0" applyFont="1" applyFill="1" applyBorder="1" applyAlignment="1">
      <alignment horizontal="center" vertical="justify"/>
    </xf>
    <xf numFmtId="0" fontId="8" fillId="24" borderId="38" xfId="54" applyFont="1" applyFill="1" applyBorder="1" applyAlignment="1">
      <alignment horizontal="center"/>
      <protection/>
    </xf>
    <xf numFmtId="2" fontId="8" fillId="24" borderId="38" xfId="54" applyNumberFormat="1" applyFont="1" applyFill="1" applyBorder="1" applyAlignment="1">
      <alignment horizontal="center"/>
      <protection/>
    </xf>
    <xf numFmtId="0" fontId="8" fillId="24" borderId="38" xfId="54" applyFont="1" applyFill="1" applyBorder="1">
      <alignment/>
      <protection/>
    </xf>
    <xf numFmtId="2" fontId="43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vertical="justify"/>
    </xf>
    <xf numFmtId="2" fontId="43" fillId="0" borderId="3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0" fontId="43" fillId="0" borderId="19" xfId="0" applyFont="1" applyBorder="1" applyAlignment="1">
      <alignment vertical="justify" wrapText="1"/>
    </xf>
    <xf numFmtId="0" fontId="8" fillId="0" borderId="19" xfId="0" applyFont="1" applyBorder="1" applyAlignment="1">
      <alignment vertical="justify"/>
    </xf>
    <xf numFmtId="2" fontId="43" fillId="24" borderId="19" xfId="0" applyNumberFormat="1" applyFont="1" applyFill="1" applyBorder="1" applyAlignment="1">
      <alignment horizontal="center" vertical="center"/>
    </xf>
    <xf numFmtId="0" fontId="8" fillId="24" borderId="19" xfId="50" applyFont="1" applyFill="1" applyBorder="1" applyAlignment="1" applyProtection="1">
      <alignment vertical="justify" wrapText="1"/>
      <protection/>
    </xf>
    <xf numFmtId="0" fontId="8" fillId="0" borderId="19" xfId="50" applyFont="1" applyBorder="1" applyAlignment="1" applyProtection="1">
      <alignment vertical="justify"/>
      <protection/>
    </xf>
    <xf numFmtId="0" fontId="8" fillId="0" borderId="19" xfId="0" applyFont="1" applyBorder="1" applyAlignment="1">
      <alignment vertical="justify" wrapText="1"/>
    </xf>
    <xf numFmtId="0" fontId="8" fillId="0" borderId="19" xfId="50" applyFont="1" applyBorder="1" applyAlignment="1" applyProtection="1">
      <alignment vertical="justify" wrapText="1"/>
      <protection/>
    </xf>
    <xf numFmtId="0" fontId="46" fillId="0" borderId="19" xfId="0" applyFont="1" applyBorder="1" applyAlignment="1">
      <alignment horizontal="center" vertical="justify"/>
    </xf>
    <xf numFmtId="2" fontId="43" fillId="0" borderId="33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0" fontId="9" fillId="24" borderId="19" xfId="50" applyFont="1" applyFill="1" applyBorder="1" applyAlignment="1" applyProtection="1">
      <alignment horizontal="center" vertical="justify" wrapText="1"/>
      <protection/>
    </xf>
    <xf numFmtId="0" fontId="8" fillId="0" borderId="12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justify"/>
    </xf>
    <xf numFmtId="2" fontId="43" fillId="0" borderId="32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8" fillId="24" borderId="35" xfId="54" applyNumberFormat="1" applyFont="1" applyFill="1" applyBorder="1" applyAlignment="1">
      <alignment horizontal="center"/>
      <protection/>
    </xf>
    <xf numFmtId="4" fontId="8" fillId="24" borderId="21" xfId="54" applyNumberFormat="1" applyFont="1" applyFill="1" applyBorder="1">
      <alignment/>
      <protection/>
    </xf>
    <xf numFmtId="4" fontId="8" fillId="24" borderId="21" xfId="54" applyNumberFormat="1" applyFont="1" applyFill="1" applyBorder="1" applyAlignment="1">
      <alignment horizontal="center"/>
      <protection/>
    </xf>
    <xf numFmtId="4" fontId="8" fillId="24" borderId="15" xfId="54" applyNumberFormat="1" applyFont="1" applyFill="1" applyBorder="1" applyAlignment="1">
      <alignment horizontal="center"/>
      <protection/>
    </xf>
    <xf numFmtId="4" fontId="8" fillId="24" borderId="22" xfId="60" applyNumberFormat="1" applyFont="1" applyFill="1" applyBorder="1" applyAlignment="1">
      <alignment horizontal="center"/>
      <protection/>
    </xf>
    <xf numFmtId="4" fontId="8" fillId="24" borderId="41" xfId="60" applyNumberFormat="1" applyFont="1" applyFill="1" applyBorder="1" applyAlignment="1">
      <alignment horizontal="center"/>
      <protection/>
    </xf>
    <xf numFmtId="4" fontId="8" fillId="24" borderId="44" xfId="60" applyNumberFormat="1" applyFont="1" applyFill="1" applyBorder="1" applyAlignment="1">
      <alignment horizontal="center"/>
      <protection/>
    </xf>
    <xf numFmtId="4" fontId="8" fillId="24" borderId="42" xfId="60" applyNumberFormat="1" applyFont="1" applyFill="1" applyBorder="1">
      <alignment/>
      <protection/>
    </xf>
    <xf numFmtId="4" fontId="8" fillId="24" borderId="25" xfId="60" applyNumberFormat="1" applyFont="1" applyFill="1" applyBorder="1">
      <alignment/>
      <protection/>
    </xf>
    <xf numFmtId="4" fontId="8" fillId="24" borderId="14" xfId="60" applyNumberFormat="1" applyFont="1" applyFill="1" applyBorder="1" applyAlignment="1">
      <alignment horizontal="center"/>
      <protection/>
    </xf>
    <xf numFmtId="4" fontId="8" fillId="24" borderId="26" xfId="60" applyNumberFormat="1" applyFont="1" applyFill="1" applyBorder="1" applyAlignment="1">
      <alignment horizontal="center"/>
      <protection/>
    </xf>
    <xf numFmtId="4" fontId="8" fillId="24" borderId="27" xfId="60" applyNumberFormat="1" applyFont="1" applyFill="1" applyBorder="1" applyAlignment="1">
      <alignment horizontal="center"/>
      <protection/>
    </xf>
    <xf numFmtId="4" fontId="8" fillId="24" borderId="17" xfId="60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justify"/>
    </xf>
    <xf numFmtId="0" fontId="9" fillId="24" borderId="37" xfId="60" applyFont="1" applyFill="1" applyBorder="1" applyAlignment="1">
      <alignment horizontal="center" vertical="center"/>
      <protection/>
    </xf>
    <xf numFmtId="0" fontId="9" fillId="24" borderId="12" xfId="6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1" xfId="57" applyNumberFormat="1" applyFont="1" applyFill="1" applyBorder="1" applyAlignment="1">
      <alignment horizontal="center" vertical="center" wrapText="1"/>
      <protection/>
    </xf>
    <xf numFmtId="0" fontId="9" fillId="0" borderId="39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16" fillId="0" borderId="47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justify"/>
    </xf>
    <xf numFmtId="0" fontId="16" fillId="0" borderId="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12" xfId="57" applyNumberFormat="1" applyFont="1" applyFill="1" applyBorder="1" applyAlignment="1">
      <alignment horizontal="center" vertical="center" wrapText="1"/>
      <protection/>
    </xf>
    <xf numFmtId="0" fontId="9" fillId="0" borderId="19" xfId="57" applyNumberFormat="1" applyFont="1" applyFill="1" applyBorder="1" applyAlignment="1">
      <alignment horizontal="center" vertical="center" wrapText="1"/>
      <protection/>
    </xf>
    <xf numFmtId="0" fontId="9" fillId="0" borderId="38" xfId="57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4" borderId="10" xfId="60" applyFont="1" applyFill="1" applyBorder="1" applyAlignment="1">
      <alignment horizontal="center" vertical="center"/>
      <protection/>
    </xf>
    <xf numFmtId="2" fontId="6" fillId="24" borderId="0" xfId="60" applyNumberFormat="1" applyFont="1" applyFill="1" applyBorder="1" applyAlignment="1">
      <alignment horizontal="left" vertical="center"/>
      <protection/>
    </xf>
    <xf numFmtId="0" fontId="9" fillId="24" borderId="12" xfId="60" applyFont="1" applyFill="1" applyBorder="1" applyAlignment="1">
      <alignment horizontal="center" vertical="center" wrapText="1"/>
      <protection/>
    </xf>
    <xf numFmtId="0" fontId="9" fillId="24" borderId="38" xfId="60" applyFont="1" applyFill="1" applyBorder="1" applyAlignment="1">
      <alignment horizontal="center" vertical="center" wrapText="1"/>
      <protection/>
    </xf>
    <xf numFmtId="0" fontId="11" fillId="24" borderId="0" xfId="60" applyFont="1" applyFill="1" applyAlignment="1">
      <alignment horizontal="center"/>
      <protection/>
    </xf>
    <xf numFmtId="0" fontId="3" fillId="24" borderId="0" xfId="60" applyFont="1" applyFill="1" applyBorder="1" applyAlignment="1">
      <alignment horizontal="center" vertical="justify"/>
      <protection/>
    </xf>
    <xf numFmtId="0" fontId="3" fillId="24" borderId="47" xfId="60" applyFont="1" applyFill="1" applyBorder="1" applyAlignment="1">
      <alignment horizontal="center" vertical="justify"/>
      <protection/>
    </xf>
    <xf numFmtId="0" fontId="6" fillId="24" borderId="0" xfId="60" applyFont="1" applyFill="1" applyBorder="1" applyAlignment="1">
      <alignment horizontal="center" vertical="center"/>
      <protection/>
    </xf>
    <xf numFmtId="0" fontId="5" fillId="24" borderId="0" xfId="60" applyFont="1" applyFill="1" applyBorder="1" applyAlignment="1">
      <alignment horizontal="right" vertical="center"/>
      <protection/>
    </xf>
    <xf numFmtId="0" fontId="9" fillId="24" borderId="12" xfId="60" applyFont="1" applyFill="1" applyBorder="1" applyAlignment="1">
      <alignment horizontal="center" vertical="center" textRotation="90"/>
      <protection/>
    </xf>
    <xf numFmtId="0" fontId="9" fillId="24" borderId="38" xfId="60" applyFont="1" applyFill="1" applyBorder="1" applyAlignment="1">
      <alignment horizontal="center" vertical="center" textRotation="90"/>
      <protection/>
    </xf>
    <xf numFmtId="0" fontId="8" fillId="24" borderId="26" xfId="60" applyFont="1" applyFill="1" applyBorder="1" applyAlignment="1">
      <alignment horizontal="right"/>
      <protection/>
    </xf>
    <xf numFmtId="0" fontId="8" fillId="24" borderId="27" xfId="60" applyFont="1" applyFill="1" applyBorder="1" applyAlignment="1">
      <alignment horizontal="right"/>
      <protection/>
    </xf>
    <xf numFmtId="0" fontId="8" fillId="24" borderId="17" xfId="60" applyFont="1" applyFill="1" applyBorder="1" applyAlignment="1">
      <alignment horizontal="right"/>
      <protection/>
    </xf>
    <xf numFmtId="0" fontId="8" fillId="24" borderId="22" xfId="60" applyFont="1" applyFill="1" applyBorder="1" applyAlignment="1">
      <alignment horizontal="right"/>
      <protection/>
    </xf>
    <xf numFmtId="0" fontId="8" fillId="24" borderId="23" xfId="60" applyFont="1" applyFill="1" applyBorder="1" applyAlignment="1">
      <alignment horizontal="right"/>
      <protection/>
    </xf>
    <xf numFmtId="0" fontId="8" fillId="24" borderId="13" xfId="60" applyFont="1" applyFill="1" applyBorder="1" applyAlignment="1">
      <alignment horizontal="right"/>
      <protection/>
    </xf>
    <xf numFmtId="0" fontId="8" fillId="24" borderId="24" xfId="60" applyFont="1" applyFill="1" applyBorder="1" applyAlignment="1">
      <alignment horizontal="right"/>
      <protection/>
    </xf>
    <xf numFmtId="0" fontId="8" fillId="24" borderId="25" xfId="60" applyFont="1" applyFill="1" applyBorder="1" applyAlignment="1">
      <alignment horizontal="right"/>
      <protection/>
    </xf>
    <xf numFmtId="0" fontId="8" fillId="24" borderId="14" xfId="60" applyFont="1" applyFill="1" applyBorder="1" applyAlignment="1">
      <alignment horizontal="right"/>
      <protection/>
    </xf>
    <xf numFmtId="0" fontId="9" fillId="24" borderId="16" xfId="60" applyFont="1" applyFill="1" applyBorder="1" applyAlignment="1">
      <alignment horizontal="center" vertical="center" textRotation="90" wrapText="1"/>
      <protection/>
    </xf>
    <xf numFmtId="0" fontId="9" fillId="24" borderId="45" xfId="60" applyFont="1" applyFill="1" applyBorder="1" applyAlignment="1">
      <alignment horizontal="center" vertical="center" textRotation="90" wrapText="1"/>
      <protection/>
    </xf>
    <xf numFmtId="49" fontId="9" fillId="24" borderId="12" xfId="60" applyNumberFormat="1" applyFont="1" applyFill="1" applyBorder="1" applyAlignment="1">
      <alignment horizontal="center" vertical="center" textRotation="90" wrapText="1"/>
      <protection/>
    </xf>
    <xf numFmtId="49" fontId="9" fillId="24" borderId="38" xfId="60" applyNumberFormat="1" applyFont="1" applyFill="1" applyBorder="1" applyAlignment="1">
      <alignment horizontal="center" vertical="center" textRotation="90" wrapText="1"/>
      <protection/>
    </xf>
    <xf numFmtId="0" fontId="9" fillId="24" borderId="36" xfId="60" applyFont="1" applyFill="1" applyBorder="1" applyAlignment="1">
      <alignment horizontal="center" vertical="center" textRotation="90"/>
      <protection/>
    </xf>
    <xf numFmtId="0" fontId="10" fillId="24" borderId="51" xfId="60" applyFont="1" applyFill="1" applyBorder="1" applyAlignment="1">
      <alignment textRotation="90"/>
      <protection/>
    </xf>
    <xf numFmtId="0" fontId="9" fillId="24" borderId="16" xfId="60" applyFont="1" applyFill="1" applyBorder="1" applyAlignment="1">
      <alignment horizontal="center" vertical="center"/>
      <protection/>
    </xf>
    <xf numFmtId="0" fontId="8" fillId="24" borderId="52" xfId="60" applyFont="1" applyFill="1" applyBorder="1" applyAlignment="1">
      <alignment horizontal="right"/>
      <protection/>
    </xf>
    <xf numFmtId="0" fontId="8" fillId="24" borderId="28" xfId="60" applyFont="1" applyFill="1" applyBorder="1" applyAlignment="1">
      <alignment horizontal="right"/>
      <protection/>
    </xf>
    <xf numFmtId="0" fontId="8" fillId="24" borderId="44" xfId="60" applyFont="1" applyFill="1" applyBorder="1" applyAlignment="1">
      <alignment horizontal="right"/>
      <protection/>
    </xf>
    <xf numFmtId="2" fontId="3" fillId="0" borderId="29" xfId="59" applyNumberFormat="1" applyFont="1" applyBorder="1" applyAlignment="1">
      <alignment horizontal="center" vertical="center"/>
      <protection/>
    </xf>
    <xf numFmtId="2" fontId="3" fillId="0" borderId="30" xfId="59" applyNumberFormat="1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bruģis" xfId="54"/>
    <cellStyle name="Normal_CMD Lapmežciema TN foajē" xfId="55"/>
    <cellStyle name="Normal_Tāme CMD pagastmājas pirmā stāva gaiteņa remonts" xfId="56"/>
    <cellStyle name="Normal_tāme engures saieta nams JF" xfId="57"/>
    <cellStyle name="Normal_Tāme fasāde PII Ķipars (Māris)" xfId="58"/>
    <cellStyle name="Normal_tāme mācītāju rekolekciju centrs Mazirbē JF" xfId="59"/>
    <cellStyle name="Normal_tāme roja DABASZINĪBAS JF" xfId="60"/>
    <cellStyle name="Normal_tāme TĒRVETE (jaunā forma)" xfId="61"/>
    <cellStyle name="Normal_tame,  PII Papardīte fasādes siltinšana" xfId="62"/>
    <cellStyle name="Normal_Upesgrīva toča" xfId="63"/>
    <cellStyle name="Note" xfId="64"/>
    <cellStyle name="Output" xfId="65"/>
    <cellStyle name="Percent" xfId="66"/>
    <cellStyle name="Stils 1" xfId="67"/>
    <cellStyle name="Style 1" xfId="68"/>
    <cellStyle name="Title" xfId="69"/>
    <cellStyle name="Total" xfId="70"/>
    <cellStyle name="Currency" xfId="71"/>
    <cellStyle name="Currency [0]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i\darbs\PRETPILS\objekti\KKP\t&#257;me%20Gaismas%203%20renov&#257;cija%20J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"/>
      <sheetName val="O1"/>
      <sheetName val="1"/>
      <sheetName val="2"/>
      <sheetName val="3"/>
      <sheetName val="4"/>
      <sheetName val="5"/>
      <sheetName val="6"/>
      <sheetName val="kopā"/>
      <sheetName val="graf"/>
      <sheetName val="siltināšana"/>
      <sheetName val="logi durvis"/>
      <sheetName val="dek.apm. salīdz."/>
      <sheetName val="būvlauk apr. salīdz."/>
    </sheetNames>
    <sheetDataSet>
      <sheetData sheetId="1">
        <row r="21">
          <cell r="B21" t="str">
            <v>Būvlaukuma sagatavošanas darbi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javascript:Pop('268040');" TargetMode="External" /><Relationship Id="rId2" Type="http://schemas.openxmlformats.org/officeDocument/2006/relationships/hyperlink" Target="javascript:Pop('231746');" TargetMode="External" /><Relationship Id="rId3" Type="http://schemas.openxmlformats.org/officeDocument/2006/relationships/hyperlink" Target="javascript:Pop('230908');" TargetMode="External" /><Relationship Id="rId4" Type="http://schemas.openxmlformats.org/officeDocument/2006/relationships/hyperlink" Target="javascript:Pop('230846');" TargetMode="External" /><Relationship Id="rId5" Type="http://schemas.openxmlformats.org/officeDocument/2006/relationships/hyperlink" Target="javascript:Pop('235042');" TargetMode="External" /><Relationship Id="rId6" Type="http://schemas.openxmlformats.org/officeDocument/2006/relationships/hyperlink" Target="javascript:Pop('235040');" TargetMode="External" /><Relationship Id="rId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2"/>
  <sheetViews>
    <sheetView zoomScalePageLayoutView="0" workbookViewId="0" topLeftCell="A1">
      <selection activeCell="A49" sqref="A49:IV51"/>
    </sheetView>
  </sheetViews>
  <sheetFormatPr defaultColWidth="9.140625" defaultRowHeight="12.75"/>
  <cols>
    <col min="1" max="1" width="45.7109375" style="14" customWidth="1"/>
    <col min="2" max="2" width="45.7109375" style="13" customWidth="1"/>
    <col min="3" max="16384" width="9.140625" style="13" customWidth="1"/>
  </cols>
  <sheetData>
    <row r="1" spans="1:4" ht="15">
      <c r="A1" s="446"/>
      <c r="B1" s="446"/>
      <c r="C1" s="23"/>
      <c r="D1" s="23"/>
    </row>
    <row r="2" spans="1:4" ht="25.5" customHeight="1">
      <c r="A2" s="447"/>
      <c r="B2" s="447"/>
      <c r="C2" s="24"/>
      <c r="D2" s="24"/>
    </row>
    <row r="3" spans="1:4" ht="25.5" customHeight="1">
      <c r="A3" s="25"/>
      <c r="B3" s="24"/>
      <c r="C3" s="24"/>
      <c r="D3" s="24"/>
    </row>
    <row r="4" ht="18" customHeight="1">
      <c r="A4" s="13"/>
    </row>
    <row r="5" ht="18" customHeight="1">
      <c r="A5" s="13"/>
    </row>
    <row r="6" ht="18" customHeight="1">
      <c r="A6" s="13"/>
    </row>
    <row r="7" ht="18" customHeight="1">
      <c r="A7" s="13"/>
    </row>
    <row r="8" ht="18" customHeight="1">
      <c r="A8" s="13"/>
    </row>
    <row r="9" spans="1:2" ht="15">
      <c r="A9" s="448" t="s">
        <v>36</v>
      </c>
      <c r="B9" s="448"/>
    </row>
    <row r="10" ht="18" customHeight="1">
      <c r="A10" s="21"/>
    </row>
    <row r="11" ht="18" customHeight="1">
      <c r="A11" s="21"/>
    </row>
    <row r="12" ht="18" customHeight="1">
      <c r="A12" s="21"/>
    </row>
    <row r="13" ht="12.75">
      <c r="A13" s="26"/>
    </row>
    <row r="14" ht="12.75">
      <c r="A14" s="12" t="s">
        <v>268</v>
      </c>
    </row>
    <row r="15" ht="12.75">
      <c r="A15" s="12"/>
    </row>
    <row r="16" ht="12.75">
      <c r="A16" s="27" t="s">
        <v>236</v>
      </c>
    </row>
    <row r="17" ht="12.75">
      <c r="A17" s="27"/>
    </row>
    <row r="18" ht="12.75">
      <c r="A18" s="27" t="s">
        <v>287</v>
      </c>
    </row>
    <row r="19" ht="18" customHeight="1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6.5" customHeight="1"/>
    <row r="44" ht="16.5" customHeight="1"/>
    <row r="47" ht="12.75" customHeight="1">
      <c r="A47" s="22"/>
    </row>
    <row r="49" spans="1:2" ht="12.75">
      <c r="A49" s="445"/>
      <c r="B49" s="445"/>
    </row>
    <row r="51" spans="1:2" ht="12.75">
      <c r="A51" s="445"/>
      <c r="B51" s="445"/>
    </row>
    <row r="52" ht="12.75" customHeight="1">
      <c r="A52" s="22"/>
    </row>
  </sheetData>
  <sheetProtection/>
  <mergeCells count="5">
    <mergeCell ref="A51:B51"/>
    <mergeCell ref="A1:B1"/>
    <mergeCell ref="A2:B2"/>
    <mergeCell ref="A9:B9"/>
    <mergeCell ref="A49:B49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49"/>
  <sheetViews>
    <sheetView showZeros="0" zoomScale="92" zoomScaleNormal="92" zoomScalePageLayoutView="0" workbookViewId="0" topLeftCell="A1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146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'O1'!B25</f>
        <v>Bēniņu siltināšanas darbi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'O1'!A8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P45</f>
        <v>0</v>
      </c>
      <c r="P12" s="475"/>
    </row>
    <row r="13" spans="1:16" ht="14.25">
      <c r="A13" s="284" t="s">
        <v>510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22.5">
      <c r="A18" s="244">
        <v>1</v>
      </c>
      <c r="B18" s="160" t="s">
        <v>141</v>
      </c>
      <c r="C18" s="245" t="s">
        <v>339</v>
      </c>
      <c r="D18" s="161" t="s">
        <v>105</v>
      </c>
      <c r="E18" s="246">
        <v>429.7</v>
      </c>
      <c r="F18" s="247"/>
      <c r="G18" s="162"/>
      <c r="H18" s="162"/>
      <c r="I18" s="162"/>
      <c r="J18" s="162"/>
      <c r="K18" s="163"/>
      <c r="L18" s="248"/>
      <c r="M18" s="162"/>
      <c r="N18" s="162"/>
      <c r="O18" s="162"/>
      <c r="P18" s="163"/>
    </row>
    <row r="19" spans="1:16" ht="11.25">
      <c r="A19" s="124"/>
      <c r="B19" s="133"/>
      <c r="C19" s="178" t="s">
        <v>142</v>
      </c>
      <c r="D19" s="127" t="s">
        <v>143</v>
      </c>
      <c r="E19" s="128">
        <f>E18*0.2*1.05</f>
        <v>90.237</v>
      </c>
      <c r="F19" s="249"/>
      <c r="G19" s="130"/>
      <c r="H19" s="130"/>
      <c r="I19" s="130"/>
      <c r="J19" s="130"/>
      <c r="K19" s="131"/>
      <c r="L19" s="132"/>
      <c r="M19" s="130"/>
      <c r="N19" s="130"/>
      <c r="O19" s="130"/>
      <c r="P19" s="131"/>
    </row>
    <row r="20" spans="1:16" ht="22.5">
      <c r="A20" s="157" t="s">
        <v>7</v>
      </c>
      <c r="B20" s="125" t="s">
        <v>27</v>
      </c>
      <c r="C20" s="311" t="s">
        <v>319</v>
      </c>
      <c r="D20" s="127" t="s">
        <v>102</v>
      </c>
      <c r="E20" s="128">
        <v>429.7</v>
      </c>
      <c r="F20" s="129"/>
      <c r="G20" s="130"/>
      <c r="H20" s="130"/>
      <c r="I20" s="130"/>
      <c r="J20" s="130"/>
      <c r="K20" s="131"/>
      <c r="L20" s="132"/>
      <c r="M20" s="130"/>
      <c r="N20" s="130"/>
      <c r="O20" s="130"/>
      <c r="P20" s="131"/>
    </row>
    <row r="21" spans="1:16" ht="11.25">
      <c r="A21" s="157"/>
      <c r="B21" s="125"/>
      <c r="C21" s="325" t="s">
        <v>320</v>
      </c>
      <c r="D21" s="127" t="s">
        <v>102</v>
      </c>
      <c r="E21" s="128">
        <f>E20*1.2</f>
        <v>515.64</v>
      </c>
      <c r="F21" s="129"/>
      <c r="G21" s="130"/>
      <c r="H21" s="130"/>
      <c r="I21" s="130"/>
      <c r="J21" s="130"/>
      <c r="K21" s="131"/>
      <c r="L21" s="132"/>
      <c r="M21" s="130"/>
      <c r="N21" s="130"/>
      <c r="O21" s="130"/>
      <c r="P21" s="131"/>
    </row>
    <row r="22" spans="1:16" ht="11.25">
      <c r="A22" s="157"/>
      <c r="B22" s="125"/>
      <c r="C22" s="134" t="s">
        <v>321</v>
      </c>
      <c r="D22" s="127" t="s">
        <v>1</v>
      </c>
      <c r="E22" s="128">
        <f>4*E20</f>
        <v>1718.8</v>
      </c>
      <c r="F22" s="129"/>
      <c r="G22" s="226"/>
      <c r="H22" s="226"/>
      <c r="I22" s="130"/>
      <c r="J22" s="226"/>
      <c r="K22" s="131"/>
      <c r="L22" s="326"/>
      <c r="M22" s="226"/>
      <c r="N22" s="130"/>
      <c r="O22" s="327"/>
      <c r="P22" s="328"/>
    </row>
    <row r="23" spans="1:16" ht="45">
      <c r="A23" s="143">
        <v>3</v>
      </c>
      <c r="B23" s="237" t="s">
        <v>138</v>
      </c>
      <c r="C23" s="239" t="s">
        <v>246</v>
      </c>
      <c r="D23" s="127" t="s">
        <v>102</v>
      </c>
      <c r="E23" s="128">
        <v>13.32</v>
      </c>
      <c r="F23" s="144"/>
      <c r="G23" s="130"/>
      <c r="H23" s="118"/>
      <c r="I23" s="118"/>
      <c r="J23" s="130"/>
      <c r="K23" s="145"/>
      <c r="L23" s="146"/>
      <c r="M23" s="118"/>
      <c r="N23" s="118"/>
      <c r="O23" s="118"/>
      <c r="P23" s="145"/>
    </row>
    <row r="24" spans="1:16" ht="11.25">
      <c r="A24" s="143"/>
      <c r="B24" s="147"/>
      <c r="C24" s="178" t="s">
        <v>218</v>
      </c>
      <c r="D24" s="127" t="s">
        <v>102</v>
      </c>
      <c r="E24" s="128">
        <f>((E23)*1.05)</f>
        <v>13.986</v>
      </c>
      <c r="F24" s="148"/>
      <c r="G24" s="118"/>
      <c r="H24" s="118"/>
      <c r="I24" s="122"/>
      <c r="J24" s="118"/>
      <c r="K24" s="145"/>
      <c r="L24" s="146"/>
      <c r="M24" s="118"/>
      <c r="N24" s="118"/>
      <c r="O24" s="118"/>
      <c r="P24" s="145"/>
    </row>
    <row r="25" spans="1:16" ht="11.25">
      <c r="A25" s="143"/>
      <c r="B25" s="147"/>
      <c r="C25" s="134" t="s">
        <v>139</v>
      </c>
      <c r="D25" s="127" t="s">
        <v>103</v>
      </c>
      <c r="E25" s="128">
        <f>((E23)*6)/25</f>
        <v>3.1968</v>
      </c>
      <c r="F25" s="148"/>
      <c r="G25" s="118"/>
      <c r="H25" s="118"/>
      <c r="I25" s="122"/>
      <c r="J25" s="118"/>
      <c r="K25" s="145"/>
      <c r="L25" s="146"/>
      <c r="M25" s="118"/>
      <c r="N25" s="118"/>
      <c r="O25" s="118"/>
      <c r="P25" s="145"/>
    </row>
    <row r="26" spans="1:16" ht="11.25">
      <c r="A26" s="124">
        <v>4</v>
      </c>
      <c r="B26" s="125" t="s">
        <v>27</v>
      </c>
      <c r="C26" s="309" t="s">
        <v>242</v>
      </c>
      <c r="D26" s="127" t="s">
        <v>240</v>
      </c>
      <c r="E26" s="128">
        <v>75</v>
      </c>
      <c r="F26" s="129"/>
      <c r="G26" s="130"/>
      <c r="H26" s="130"/>
      <c r="I26" s="130"/>
      <c r="J26" s="130"/>
      <c r="K26" s="131"/>
      <c r="L26" s="132"/>
      <c r="M26" s="130"/>
      <c r="N26" s="130"/>
      <c r="O26" s="130"/>
      <c r="P26" s="131"/>
    </row>
    <row r="27" spans="1:16" ht="22.5">
      <c r="A27" s="124"/>
      <c r="B27" s="125"/>
      <c r="C27" s="192" t="s">
        <v>243</v>
      </c>
      <c r="D27" s="127" t="s">
        <v>143</v>
      </c>
      <c r="E27" s="128">
        <f>E26*2*1.1*0.05*0.15*2</f>
        <v>2.475</v>
      </c>
      <c r="F27" s="129"/>
      <c r="G27" s="130"/>
      <c r="H27" s="130"/>
      <c r="I27" s="130"/>
      <c r="J27" s="130"/>
      <c r="K27" s="131"/>
      <c r="L27" s="132"/>
      <c r="M27" s="130"/>
      <c r="N27" s="130"/>
      <c r="O27" s="130"/>
      <c r="P27" s="131"/>
    </row>
    <row r="28" spans="1:16" ht="11.25">
      <c r="A28" s="124"/>
      <c r="B28" s="125"/>
      <c r="C28" s="134" t="s">
        <v>241</v>
      </c>
      <c r="D28" s="127" t="s">
        <v>106</v>
      </c>
      <c r="E28" s="128">
        <f>9*E27</f>
        <v>22.275000000000002</v>
      </c>
      <c r="F28" s="129"/>
      <c r="G28" s="130"/>
      <c r="H28" s="130"/>
      <c r="I28" s="130"/>
      <c r="J28" s="130"/>
      <c r="K28" s="131"/>
      <c r="L28" s="132"/>
      <c r="M28" s="130"/>
      <c r="N28" s="130"/>
      <c r="O28" s="130"/>
      <c r="P28" s="131"/>
    </row>
    <row r="29" spans="1:16" ht="22.5">
      <c r="A29" s="124"/>
      <c r="B29" s="133"/>
      <c r="C29" s="192" t="s">
        <v>244</v>
      </c>
      <c r="D29" s="127" t="s">
        <v>143</v>
      </c>
      <c r="E29" s="128">
        <f>E26*(100/100)*0.4*0.032*1.1</f>
        <v>1.056</v>
      </c>
      <c r="F29" s="129"/>
      <c r="G29" s="130"/>
      <c r="H29" s="130"/>
      <c r="I29" s="130"/>
      <c r="J29" s="130"/>
      <c r="K29" s="131"/>
      <c r="L29" s="132"/>
      <c r="M29" s="130"/>
      <c r="N29" s="130"/>
      <c r="O29" s="130"/>
      <c r="P29" s="131"/>
    </row>
    <row r="30" spans="1:16" ht="11.25">
      <c r="A30" s="124"/>
      <c r="B30" s="133"/>
      <c r="C30" s="134" t="s">
        <v>241</v>
      </c>
      <c r="D30" s="127" t="s">
        <v>106</v>
      </c>
      <c r="E30" s="128">
        <f>((E26/0.3)*4.44)/1000</f>
        <v>1.11</v>
      </c>
      <c r="F30" s="129"/>
      <c r="G30" s="130"/>
      <c r="H30" s="130"/>
      <c r="I30" s="130"/>
      <c r="J30" s="130"/>
      <c r="K30" s="131"/>
      <c r="L30" s="132"/>
      <c r="M30" s="130"/>
      <c r="N30" s="130"/>
      <c r="O30" s="130"/>
      <c r="P30" s="131"/>
    </row>
    <row r="31" spans="1:16" ht="11.25">
      <c r="A31" s="143">
        <v>5</v>
      </c>
      <c r="B31" s="310" t="s">
        <v>27</v>
      </c>
      <c r="C31" s="311" t="s">
        <v>338</v>
      </c>
      <c r="D31" s="127" t="s">
        <v>102</v>
      </c>
      <c r="E31" s="128">
        <v>5.67</v>
      </c>
      <c r="F31" s="129"/>
      <c r="G31" s="130"/>
      <c r="H31" s="118"/>
      <c r="I31" s="118"/>
      <c r="J31" s="130"/>
      <c r="K31" s="145"/>
      <c r="L31" s="146"/>
      <c r="M31" s="118"/>
      <c r="N31" s="118"/>
      <c r="O31" s="118"/>
      <c r="P31" s="145"/>
    </row>
    <row r="32" spans="1:16" ht="11.25">
      <c r="A32" s="189"/>
      <c r="B32" s="240"/>
      <c r="C32" s="178" t="s">
        <v>245</v>
      </c>
      <c r="D32" s="127" t="s">
        <v>102</v>
      </c>
      <c r="E32" s="128">
        <f>E31</f>
        <v>5.67</v>
      </c>
      <c r="F32" s="129"/>
      <c r="G32" s="118"/>
      <c r="H32" s="118"/>
      <c r="I32" s="130"/>
      <c r="J32" s="130"/>
      <c r="K32" s="145"/>
      <c r="L32" s="146"/>
      <c r="M32" s="118"/>
      <c r="N32" s="118"/>
      <c r="O32" s="118"/>
      <c r="P32" s="145"/>
    </row>
    <row r="33" spans="1:16" ht="45">
      <c r="A33" s="143">
        <v>6</v>
      </c>
      <c r="B33" s="237" t="s">
        <v>138</v>
      </c>
      <c r="C33" s="239" t="s">
        <v>323</v>
      </c>
      <c r="D33" s="127" t="s">
        <v>102</v>
      </c>
      <c r="E33" s="139">
        <v>44.5</v>
      </c>
      <c r="F33" s="144"/>
      <c r="G33" s="184"/>
      <c r="H33" s="118"/>
      <c r="I33" s="118"/>
      <c r="J33" s="130"/>
      <c r="K33" s="145"/>
      <c r="L33" s="146"/>
      <c r="M33" s="118"/>
      <c r="N33" s="118"/>
      <c r="O33" s="118"/>
      <c r="P33" s="145"/>
    </row>
    <row r="34" spans="1:16" ht="11.25">
      <c r="A34" s="143"/>
      <c r="B34" s="147"/>
      <c r="C34" s="178" t="s">
        <v>322</v>
      </c>
      <c r="D34" s="127" t="s">
        <v>102</v>
      </c>
      <c r="E34" s="128">
        <f>((E33)*1.05)</f>
        <v>46.725</v>
      </c>
      <c r="F34" s="148"/>
      <c r="G34" s="118"/>
      <c r="H34" s="118"/>
      <c r="I34" s="122"/>
      <c r="J34" s="118"/>
      <c r="K34" s="145"/>
      <c r="L34" s="146"/>
      <c r="M34" s="118"/>
      <c r="N34" s="118"/>
      <c r="O34" s="118"/>
      <c r="P34" s="145"/>
    </row>
    <row r="35" spans="1:16" ht="11.25">
      <c r="A35" s="143"/>
      <c r="B35" s="147"/>
      <c r="C35" s="134" t="s">
        <v>139</v>
      </c>
      <c r="D35" s="127" t="s">
        <v>103</v>
      </c>
      <c r="E35" s="128">
        <f>((E33)*6)/25</f>
        <v>10.68</v>
      </c>
      <c r="F35" s="148"/>
      <c r="G35" s="118"/>
      <c r="H35" s="118"/>
      <c r="I35" s="122"/>
      <c r="J35" s="118"/>
      <c r="K35" s="145"/>
      <c r="L35" s="146"/>
      <c r="M35" s="118"/>
      <c r="N35" s="118"/>
      <c r="O35" s="118"/>
      <c r="P35" s="145"/>
    </row>
    <row r="36" spans="1:16" ht="11.25">
      <c r="A36" s="143"/>
      <c r="B36" s="147"/>
      <c r="C36" s="134" t="s">
        <v>279</v>
      </c>
      <c r="D36" s="127" t="s">
        <v>103</v>
      </c>
      <c r="E36" s="128">
        <f>(E33)*4</f>
        <v>178</v>
      </c>
      <c r="F36" s="148"/>
      <c r="G36" s="118"/>
      <c r="H36" s="118"/>
      <c r="I36" s="122"/>
      <c r="J36" s="118"/>
      <c r="K36" s="145"/>
      <c r="L36" s="146"/>
      <c r="M36" s="118"/>
      <c r="N36" s="118"/>
      <c r="O36" s="118"/>
      <c r="P36" s="145"/>
    </row>
    <row r="37" spans="1:16" ht="33.75">
      <c r="A37" s="157" t="s">
        <v>28</v>
      </c>
      <c r="B37" s="179" t="s">
        <v>167</v>
      </c>
      <c r="C37" s="187" t="s">
        <v>187</v>
      </c>
      <c r="D37" s="127" t="s">
        <v>102</v>
      </c>
      <c r="E37" s="139">
        <v>44.5</v>
      </c>
      <c r="F37" s="129"/>
      <c r="G37" s="184"/>
      <c r="H37" s="130"/>
      <c r="I37" s="130"/>
      <c r="J37" s="130"/>
      <c r="K37" s="131"/>
      <c r="L37" s="132"/>
      <c r="M37" s="130"/>
      <c r="N37" s="130"/>
      <c r="O37" s="130"/>
      <c r="P37" s="131"/>
    </row>
    <row r="38" spans="1:16" ht="11.25">
      <c r="A38" s="157"/>
      <c r="B38" s="125"/>
      <c r="C38" s="178" t="s">
        <v>168</v>
      </c>
      <c r="D38" s="127" t="s">
        <v>102</v>
      </c>
      <c r="E38" s="128">
        <f>((E37)*1.2)</f>
        <v>53.4</v>
      </c>
      <c r="F38" s="129"/>
      <c r="G38" s="130"/>
      <c r="H38" s="130"/>
      <c r="I38" s="117"/>
      <c r="J38" s="130"/>
      <c r="K38" s="131"/>
      <c r="L38" s="132"/>
      <c r="M38" s="130"/>
      <c r="N38" s="130"/>
      <c r="O38" s="130"/>
      <c r="P38" s="131"/>
    </row>
    <row r="39" spans="1:16" ht="11.25">
      <c r="A39" s="157"/>
      <c r="B39" s="125"/>
      <c r="C39" s="178" t="s">
        <v>125</v>
      </c>
      <c r="D39" s="127" t="s">
        <v>103</v>
      </c>
      <c r="E39" s="128">
        <f>((E37)*4)/25</f>
        <v>7.12</v>
      </c>
      <c r="F39" s="129"/>
      <c r="G39" s="130"/>
      <c r="H39" s="130"/>
      <c r="I39" s="117"/>
      <c r="J39" s="130"/>
      <c r="K39" s="131"/>
      <c r="L39" s="132"/>
      <c r="M39" s="130"/>
      <c r="N39" s="130"/>
      <c r="O39" s="130"/>
      <c r="P39" s="131"/>
    </row>
    <row r="40" spans="1:16" ht="22.5">
      <c r="A40" s="157" t="s">
        <v>29</v>
      </c>
      <c r="B40" s="125" t="s">
        <v>27</v>
      </c>
      <c r="C40" s="126" t="s">
        <v>189</v>
      </c>
      <c r="D40" s="127" t="s">
        <v>2</v>
      </c>
      <c r="E40" s="128">
        <v>35</v>
      </c>
      <c r="F40" s="129"/>
      <c r="G40" s="184"/>
      <c r="H40" s="130"/>
      <c r="I40" s="130"/>
      <c r="J40" s="130"/>
      <c r="K40" s="131"/>
      <c r="L40" s="132"/>
      <c r="M40" s="130"/>
      <c r="N40" s="130"/>
      <c r="O40" s="130"/>
      <c r="P40" s="131"/>
    </row>
    <row r="41" spans="1:16" ht="22.5">
      <c r="A41" s="157"/>
      <c r="B41" s="125"/>
      <c r="C41" s="178" t="s">
        <v>190</v>
      </c>
      <c r="D41" s="127" t="s">
        <v>103</v>
      </c>
      <c r="E41" s="128">
        <f>E40*1.05/2.5</f>
        <v>14.7</v>
      </c>
      <c r="F41" s="129"/>
      <c r="G41" s="130"/>
      <c r="H41" s="130"/>
      <c r="I41" s="130"/>
      <c r="J41" s="130"/>
      <c r="K41" s="131"/>
      <c r="L41" s="132"/>
      <c r="M41" s="130"/>
      <c r="N41" s="130"/>
      <c r="O41" s="130"/>
      <c r="P41" s="131"/>
    </row>
    <row r="42" spans="1:16" ht="11.25">
      <c r="A42" s="189"/>
      <c r="B42" s="240"/>
      <c r="C42" s="178"/>
      <c r="D42" s="127"/>
      <c r="E42" s="128"/>
      <c r="F42" s="129"/>
      <c r="G42" s="118"/>
      <c r="H42" s="118"/>
      <c r="I42" s="130"/>
      <c r="J42" s="130"/>
      <c r="K42" s="145"/>
      <c r="L42" s="146"/>
      <c r="M42" s="118"/>
      <c r="N42" s="118"/>
      <c r="O42" s="118"/>
      <c r="P42" s="145"/>
    </row>
    <row r="43" spans="1:16" ht="12" thickBot="1">
      <c r="A43" s="501" t="s">
        <v>5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3"/>
      <c r="L43" s="296"/>
      <c r="M43" s="297"/>
      <c r="N43" s="297"/>
      <c r="O43" s="297"/>
      <c r="P43" s="298"/>
    </row>
    <row r="44" spans="1:16" ht="12" thickBot="1">
      <c r="A44" s="491" t="s">
        <v>511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3"/>
      <c r="L44" s="299"/>
      <c r="M44" s="300"/>
      <c r="N44" s="300"/>
      <c r="O44" s="300"/>
      <c r="P44" s="301"/>
    </row>
    <row r="45" spans="1:16" ht="12" thickBot="1">
      <c r="A45" s="485" t="s">
        <v>5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7"/>
      <c r="L45" s="302"/>
      <c r="M45" s="303"/>
      <c r="N45" s="303"/>
      <c r="O45" s="303"/>
      <c r="P45" s="304"/>
    </row>
    <row r="48" spans="1:8" ht="11.25">
      <c r="A48" s="305" t="s">
        <v>507</v>
      </c>
      <c r="B48" s="306"/>
      <c r="H48" s="305" t="s">
        <v>503</v>
      </c>
    </row>
    <row r="49" ht="11.25">
      <c r="F49" s="308"/>
    </row>
  </sheetData>
  <sheetProtection/>
  <mergeCells count="16">
    <mergeCell ref="A45:K45"/>
    <mergeCell ref="A43:K43"/>
    <mergeCell ref="A44:K44"/>
    <mergeCell ref="A16:A17"/>
    <mergeCell ref="B16:B17"/>
    <mergeCell ref="E16:E17"/>
    <mergeCell ref="F16:K16"/>
    <mergeCell ref="L16:P16"/>
    <mergeCell ref="O12:P12"/>
    <mergeCell ref="C16:C17"/>
    <mergeCell ref="A1:P1"/>
    <mergeCell ref="A2:P3"/>
    <mergeCell ref="A5:P5"/>
    <mergeCell ref="A6:P6"/>
    <mergeCell ref="L12:N12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3"/>
  <sheetViews>
    <sheetView showZeros="0" zoomScale="92" zoomScaleNormal="92" zoomScalePageLayoutView="0" workbookViewId="0" topLeftCell="A1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147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'O1'!B26</f>
        <v>Fasādes siltināšanas darbi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'O1'!A8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P129</f>
        <v>0</v>
      </c>
      <c r="P12" s="475"/>
    </row>
    <row r="13" spans="1:16" ht="14.25">
      <c r="A13" s="284" t="s">
        <v>512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11.25">
      <c r="A18" s="381"/>
      <c r="B18" s="382"/>
      <c r="C18" s="380" t="s">
        <v>355</v>
      </c>
      <c r="D18" s="383"/>
      <c r="E18" s="384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</row>
    <row r="19" spans="1:16" ht="33.75">
      <c r="A19" s="133">
        <v>1</v>
      </c>
      <c r="B19" s="125" t="s">
        <v>148</v>
      </c>
      <c r="C19" s="126" t="s">
        <v>149</v>
      </c>
      <c r="D19" s="127" t="s">
        <v>105</v>
      </c>
      <c r="E19" s="130">
        <v>1837.1</v>
      </c>
      <c r="F19" s="130"/>
      <c r="G19" s="184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11.25">
      <c r="A20" s="133"/>
      <c r="B20" s="125"/>
      <c r="C20" s="134" t="s">
        <v>150</v>
      </c>
      <c r="D20" s="127" t="s">
        <v>102</v>
      </c>
      <c r="E20" s="130">
        <f>E19</f>
        <v>1837.1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ht="11.25">
      <c r="A21" s="133">
        <v>2</v>
      </c>
      <c r="B21" s="133" t="s">
        <v>27</v>
      </c>
      <c r="C21" s="126" t="s">
        <v>185</v>
      </c>
      <c r="D21" s="127" t="s">
        <v>102</v>
      </c>
      <c r="E21" s="130">
        <v>431.67999999999995</v>
      </c>
      <c r="F21" s="130"/>
      <c r="G21" s="184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ht="33.75">
      <c r="A22" s="133"/>
      <c r="B22" s="133"/>
      <c r="C22" s="178" t="s">
        <v>151</v>
      </c>
      <c r="D22" s="127" t="s">
        <v>144</v>
      </c>
      <c r="E22" s="130">
        <f>E21*1.2/150</f>
        <v>3.4534399999999996</v>
      </c>
      <c r="F22" s="130"/>
      <c r="G22" s="130"/>
      <c r="H22" s="130"/>
      <c r="I22" s="186"/>
      <c r="J22" s="130"/>
      <c r="K22" s="130"/>
      <c r="L22" s="130"/>
      <c r="M22" s="130"/>
      <c r="N22" s="130"/>
      <c r="O22" s="130"/>
      <c r="P22" s="130"/>
    </row>
    <row r="23" spans="1:16" ht="11.25">
      <c r="A23" s="133"/>
      <c r="B23" s="133"/>
      <c r="C23" s="134" t="s">
        <v>152</v>
      </c>
      <c r="D23" s="127" t="s">
        <v>0</v>
      </c>
      <c r="E23" s="130">
        <f>1*E21/25</f>
        <v>17.2672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ht="11.25">
      <c r="A24" s="237">
        <v>3</v>
      </c>
      <c r="B24" s="237" t="s">
        <v>138</v>
      </c>
      <c r="C24" s="238" t="s">
        <v>217</v>
      </c>
      <c r="D24" s="138" t="s">
        <v>105</v>
      </c>
      <c r="E24" s="117">
        <v>1405.32</v>
      </c>
      <c r="F24" s="122"/>
      <c r="G24" s="184"/>
      <c r="H24" s="118"/>
      <c r="I24" s="118"/>
      <c r="J24" s="117"/>
      <c r="K24" s="118"/>
      <c r="L24" s="118"/>
      <c r="M24" s="118"/>
      <c r="N24" s="118"/>
      <c r="O24" s="118"/>
      <c r="P24" s="118"/>
    </row>
    <row r="25" spans="1:16" ht="11.25">
      <c r="A25" s="150"/>
      <c r="B25" s="150"/>
      <c r="C25" s="120" t="s">
        <v>216</v>
      </c>
      <c r="D25" s="138" t="s">
        <v>103</v>
      </c>
      <c r="E25" s="117">
        <f>E24*0.15/20</f>
        <v>10.5399</v>
      </c>
      <c r="F25" s="385"/>
      <c r="G25" s="118"/>
      <c r="H25" s="118"/>
      <c r="I25" s="122"/>
      <c r="J25" s="118"/>
      <c r="K25" s="118"/>
      <c r="L25" s="118"/>
      <c r="M25" s="118"/>
      <c r="N25" s="118"/>
      <c r="O25" s="117"/>
      <c r="P25" s="117"/>
    </row>
    <row r="26" spans="1:16" ht="11.25">
      <c r="A26" s="237">
        <v>4</v>
      </c>
      <c r="B26" s="237" t="s">
        <v>138</v>
      </c>
      <c r="C26" s="238" t="s">
        <v>280</v>
      </c>
      <c r="D26" s="138" t="s">
        <v>101</v>
      </c>
      <c r="E26" s="117">
        <v>117.6</v>
      </c>
      <c r="F26" s="122"/>
      <c r="G26" s="243"/>
      <c r="H26" s="118"/>
      <c r="I26" s="118"/>
      <c r="J26" s="117"/>
      <c r="K26" s="118"/>
      <c r="L26" s="118"/>
      <c r="M26" s="118"/>
      <c r="N26" s="118"/>
      <c r="O26" s="118"/>
      <c r="P26" s="118"/>
    </row>
    <row r="27" spans="1:16" ht="11.25">
      <c r="A27" s="150"/>
      <c r="B27" s="150"/>
      <c r="C27" s="120" t="s">
        <v>340</v>
      </c>
      <c r="D27" s="138" t="s">
        <v>2</v>
      </c>
      <c r="E27" s="117">
        <f>1.1*E26</f>
        <v>129.36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ht="33.75">
      <c r="A28" s="237">
        <v>5</v>
      </c>
      <c r="B28" s="237" t="s">
        <v>138</v>
      </c>
      <c r="C28" s="239" t="s">
        <v>341</v>
      </c>
      <c r="D28" s="127" t="s">
        <v>102</v>
      </c>
      <c r="E28" s="117">
        <v>1405.32</v>
      </c>
      <c r="F28" s="122"/>
      <c r="G28" s="184"/>
      <c r="H28" s="118"/>
      <c r="I28" s="118"/>
      <c r="J28" s="130"/>
      <c r="K28" s="118"/>
      <c r="L28" s="118"/>
      <c r="M28" s="118"/>
      <c r="N28" s="118"/>
      <c r="O28" s="118"/>
      <c r="P28" s="118"/>
    </row>
    <row r="29" spans="1:16" ht="11.25">
      <c r="A29" s="237"/>
      <c r="B29" s="147"/>
      <c r="C29" s="178" t="s">
        <v>322</v>
      </c>
      <c r="D29" s="127" t="s">
        <v>102</v>
      </c>
      <c r="E29" s="130">
        <f>((E28)*1.05)</f>
        <v>1475.586</v>
      </c>
      <c r="F29" s="385"/>
      <c r="G29" s="118"/>
      <c r="H29" s="118"/>
      <c r="I29" s="122"/>
      <c r="J29" s="118"/>
      <c r="K29" s="118"/>
      <c r="L29" s="118"/>
      <c r="M29" s="118"/>
      <c r="N29" s="118"/>
      <c r="O29" s="118"/>
      <c r="P29" s="118"/>
    </row>
    <row r="30" spans="1:16" ht="11.25">
      <c r="A30" s="237"/>
      <c r="B30" s="147"/>
      <c r="C30" s="134" t="s">
        <v>139</v>
      </c>
      <c r="D30" s="127" t="s">
        <v>103</v>
      </c>
      <c r="E30" s="130">
        <f>((E28)*6)/25</f>
        <v>337.2768</v>
      </c>
      <c r="F30" s="385"/>
      <c r="G30" s="118"/>
      <c r="H30" s="118"/>
      <c r="I30" s="122"/>
      <c r="J30" s="118"/>
      <c r="K30" s="118"/>
      <c r="L30" s="118"/>
      <c r="M30" s="118"/>
      <c r="N30" s="118"/>
      <c r="O30" s="118"/>
      <c r="P30" s="118"/>
    </row>
    <row r="31" spans="1:16" ht="11.25">
      <c r="A31" s="237"/>
      <c r="B31" s="147"/>
      <c r="C31" s="134" t="s">
        <v>279</v>
      </c>
      <c r="D31" s="127" t="s">
        <v>103</v>
      </c>
      <c r="E31" s="130">
        <f>(E28)*4</f>
        <v>5621.28</v>
      </c>
      <c r="F31" s="385"/>
      <c r="G31" s="118"/>
      <c r="H31" s="118"/>
      <c r="I31" s="122"/>
      <c r="J31" s="118"/>
      <c r="K31" s="118"/>
      <c r="L31" s="118"/>
      <c r="M31" s="118"/>
      <c r="N31" s="118"/>
      <c r="O31" s="118"/>
      <c r="P31" s="118"/>
    </row>
    <row r="32" spans="1:16" ht="33.75">
      <c r="A32" s="237">
        <v>6</v>
      </c>
      <c r="B32" s="237" t="s">
        <v>153</v>
      </c>
      <c r="C32" s="239" t="s">
        <v>186</v>
      </c>
      <c r="D32" s="127" t="s">
        <v>102</v>
      </c>
      <c r="E32" s="130">
        <v>160.61999999999998</v>
      </c>
      <c r="F32" s="122"/>
      <c r="G32" s="184"/>
      <c r="H32" s="118"/>
      <c r="I32" s="118"/>
      <c r="J32" s="130"/>
      <c r="K32" s="118"/>
      <c r="L32" s="118"/>
      <c r="M32" s="118"/>
      <c r="N32" s="118"/>
      <c r="O32" s="118"/>
      <c r="P32" s="118"/>
    </row>
    <row r="33" spans="1:16" ht="11.25">
      <c r="A33" s="237"/>
      <c r="B33" s="147"/>
      <c r="C33" s="178" t="s">
        <v>154</v>
      </c>
      <c r="D33" s="127" t="s">
        <v>102</v>
      </c>
      <c r="E33" s="130">
        <f>((E32)*1.05)</f>
        <v>168.65099999999998</v>
      </c>
      <c r="F33" s="385"/>
      <c r="G33" s="118"/>
      <c r="H33" s="118"/>
      <c r="I33" s="122"/>
      <c r="J33" s="118"/>
      <c r="K33" s="118"/>
      <c r="L33" s="118"/>
      <c r="M33" s="118"/>
      <c r="N33" s="118"/>
      <c r="O33" s="118"/>
      <c r="P33" s="118"/>
    </row>
    <row r="34" spans="1:16" ht="11.25">
      <c r="A34" s="237"/>
      <c r="B34" s="147"/>
      <c r="C34" s="134" t="s">
        <v>139</v>
      </c>
      <c r="D34" s="127" t="s">
        <v>103</v>
      </c>
      <c r="E34" s="130">
        <f>((E32)*6)/25</f>
        <v>38.54879999999999</v>
      </c>
      <c r="F34" s="385"/>
      <c r="G34" s="118"/>
      <c r="H34" s="118"/>
      <c r="I34" s="122"/>
      <c r="J34" s="118"/>
      <c r="K34" s="118"/>
      <c r="L34" s="118"/>
      <c r="M34" s="118"/>
      <c r="N34" s="118"/>
      <c r="O34" s="118"/>
      <c r="P34" s="118"/>
    </row>
    <row r="35" spans="1:16" ht="11.25">
      <c r="A35" s="237"/>
      <c r="B35" s="147"/>
      <c r="C35" s="134" t="s">
        <v>155</v>
      </c>
      <c r="D35" s="127" t="s">
        <v>103</v>
      </c>
      <c r="E35" s="130">
        <f>(E32)*4</f>
        <v>642.4799999999999</v>
      </c>
      <c r="F35" s="385"/>
      <c r="G35" s="118"/>
      <c r="H35" s="118"/>
      <c r="I35" s="122"/>
      <c r="J35" s="118"/>
      <c r="K35" s="118"/>
      <c r="L35" s="118"/>
      <c r="M35" s="118"/>
      <c r="N35" s="118"/>
      <c r="O35" s="118"/>
      <c r="P35" s="118"/>
    </row>
    <row r="36" spans="1:16" ht="33.75">
      <c r="A36" s="125" t="s">
        <v>28</v>
      </c>
      <c r="B36" s="179" t="s">
        <v>167</v>
      </c>
      <c r="C36" s="187" t="s">
        <v>187</v>
      </c>
      <c r="D36" s="127" t="s">
        <v>102</v>
      </c>
      <c r="E36" s="117">
        <v>1405.32</v>
      </c>
      <c r="F36" s="130"/>
      <c r="G36" s="184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11.25">
      <c r="A37" s="125"/>
      <c r="B37" s="125"/>
      <c r="C37" s="178" t="s">
        <v>168</v>
      </c>
      <c r="D37" s="127" t="s">
        <v>102</v>
      </c>
      <c r="E37" s="130">
        <f>((E36)*1.2)</f>
        <v>1686.3839999999998</v>
      </c>
      <c r="F37" s="130"/>
      <c r="G37" s="130"/>
      <c r="H37" s="130"/>
      <c r="I37" s="117"/>
      <c r="J37" s="130"/>
      <c r="K37" s="130"/>
      <c r="L37" s="130"/>
      <c r="M37" s="130"/>
      <c r="N37" s="130"/>
      <c r="O37" s="130"/>
      <c r="P37" s="130"/>
    </row>
    <row r="38" spans="1:16" ht="11.25">
      <c r="A38" s="125"/>
      <c r="B38" s="125"/>
      <c r="C38" s="178" t="s">
        <v>125</v>
      </c>
      <c r="D38" s="127" t="s">
        <v>103</v>
      </c>
      <c r="E38" s="130">
        <f>((E36)*4)/25</f>
        <v>224.85119999999998</v>
      </c>
      <c r="F38" s="130"/>
      <c r="G38" s="130"/>
      <c r="H38" s="130"/>
      <c r="I38" s="117"/>
      <c r="J38" s="130"/>
      <c r="K38" s="130"/>
      <c r="L38" s="130"/>
      <c r="M38" s="130"/>
      <c r="N38" s="130"/>
      <c r="O38" s="130"/>
      <c r="P38" s="130"/>
    </row>
    <row r="39" spans="1:16" ht="22.5">
      <c r="A39" s="125" t="s">
        <v>29</v>
      </c>
      <c r="B39" s="125" t="s">
        <v>27</v>
      </c>
      <c r="C39" s="126" t="s">
        <v>189</v>
      </c>
      <c r="D39" s="127" t="s">
        <v>2</v>
      </c>
      <c r="E39" s="130">
        <v>60</v>
      </c>
      <c r="F39" s="130"/>
      <c r="G39" s="184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ht="22.5">
      <c r="A40" s="125"/>
      <c r="B40" s="125"/>
      <c r="C40" s="178" t="s">
        <v>190</v>
      </c>
      <c r="D40" s="127" t="s">
        <v>103</v>
      </c>
      <c r="E40" s="130">
        <f>E39*1.05/2.5</f>
        <v>25.2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33.75">
      <c r="A41" s="125" t="s">
        <v>33</v>
      </c>
      <c r="B41" s="179" t="s">
        <v>167</v>
      </c>
      <c r="C41" s="187" t="s">
        <v>188</v>
      </c>
      <c r="D41" s="127" t="s">
        <v>102</v>
      </c>
      <c r="E41" s="130">
        <v>160.61999999999998</v>
      </c>
      <c r="F41" s="130"/>
      <c r="G41" s="184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ht="11.25">
      <c r="A42" s="125"/>
      <c r="B42" s="125"/>
      <c r="C42" s="178" t="s">
        <v>168</v>
      </c>
      <c r="D42" s="127" t="s">
        <v>102</v>
      </c>
      <c r="E42" s="130">
        <f>((E41)*1.2)</f>
        <v>192.74399999999997</v>
      </c>
      <c r="F42" s="130"/>
      <c r="G42" s="130"/>
      <c r="H42" s="130"/>
      <c r="I42" s="117"/>
      <c r="J42" s="130"/>
      <c r="K42" s="130"/>
      <c r="L42" s="130"/>
      <c r="M42" s="130"/>
      <c r="N42" s="130"/>
      <c r="O42" s="130"/>
      <c r="P42" s="130"/>
    </row>
    <row r="43" spans="1:16" ht="11.25">
      <c r="A43" s="125"/>
      <c r="B43" s="125"/>
      <c r="C43" s="178" t="s">
        <v>125</v>
      </c>
      <c r="D43" s="127" t="s">
        <v>103</v>
      </c>
      <c r="E43" s="130">
        <f>((E41)*4)/25</f>
        <v>25.699199999999998</v>
      </c>
      <c r="F43" s="130"/>
      <c r="G43" s="130"/>
      <c r="H43" s="130"/>
      <c r="I43" s="117"/>
      <c r="J43" s="130"/>
      <c r="K43" s="130"/>
      <c r="L43" s="130"/>
      <c r="M43" s="130"/>
      <c r="N43" s="130"/>
      <c r="O43" s="130"/>
      <c r="P43" s="130"/>
    </row>
    <row r="44" spans="1:16" ht="11.25">
      <c r="A44" s="125" t="s">
        <v>166</v>
      </c>
      <c r="B44" s="125" t="s">
        <v>27</v>
      </c>
      <c r="C44" s="126" t="s">
        <v>348</v>
      </c>
      <c r="D44" s="127" t="s">
        <v>2</v>
      </c>
      <c r="E44" s="130">
        <v>821.6</v>
      </c>
      <c r="F44" s="130"/>
      <c r="G44" s="184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ht="22.5">
      <c r="A45" s="125"/>
      <c r="B45" s="125"/>
      <c r="C45" s="178" t="s">
        <v>190</v>
      </c>
      <c r="D45" s="127" t="s">
        <v>103</v>
      </c>
      <c r="E45" s="130">
        <f>E44*1.05/2.5</f>
        <v>345.072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ht="11.25">
      <c r="A46" s="125"/>
      <c r="B46" s="125"/>
      <c r="C46" s="178" t="s">
        <v>125</v>
      </c>
      <c r="D46" s="127" t="s">
        <v>103</v>
      </c>
      <c r="E46" s="130">
        <f>((E44)*4*0.3)/25</f>
        <v>39.4368</v>
      </c>
      <c r="F46" s="130"/>
      <c r="G46" s="130"/>
      <c r="H46" s="130"/>
      <c r="I46" s="117"/>
      <c r="J46" s="130"/>
      <c r="K46" s="130"/>
      <c r="L46" s="130"/>
      <c r="M46" s="130"/>
      <c r="N46" s="130"/>
      <c r="O46" s="130"/>
      <c r="P46" s="130"/>
    </row>
    <row r="47" spans="1:16" ht="11.25">
      <c r="A47" s="125" t="s">
        <v>169</v>
      </c>
      <c r="B47" s="125" t="s">
        <v>27</v>
      </c>
      <c r="C47" s="126" t="s">
        <v>348</v>
      </c>
      <c r="D47" s="127" t="s">
        <v>2</v>
      </c>
      <c r="E47" s="130">
        <v>821.6</v>
      </c>
      <c r="F47" s="130"/>
      <c r="G47" s="184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22.5">
      <c r="A48" s="125"/>
      <c r="B48" s="125"/>
      <c r="C48" s="178" t="s">
        <v>349</v>
      </c>
      <c r="D48" s="127" t="s">
        <v>103</v>
      </c>
      <c r="E48" s="130">
        <f>E47*1.05/2.5</f>
        <v>345.072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ht="11.25">
      <c r="A49" s="125"/>
      <c r="B49" s="125"/>
      <c r="C49" s="178" t="s">
        <v>125</v>
      </c>
      <c r="D49" s="127" t="s">
        <v>103</v>
      </c>
      <c r="E49" s="130">
        <f>((E47)*4*0.3)/25</f>
        <v>39.4368</v>
      </c>
      <c r="F49" s="130"/>
      <c r="G49" s="130"/>
      <c r="H49" s="130"/>
      <c r="I49" s="117"/>
      <c r="J49" s="130"/>
      <c r="K49" s="130"/>
      <c r="L49" s="130"/>
      <c r="M49" s="130"/>
      <c r="N49" s="130"/>
      <c r="O49" s="130"/>
      <c r="P49" s="130"/>
    </row>
    <row r="50" spans="1:16" ht="11.25">
      <c r="A50" s="125" t="s">
        <v>170</v>
      </c>
      <c r="B50" s="125" t="s">
        <v>27</v>
      </c>
      <c r="C50" s="126" t="s">
        <v>350</v>
      </c>
      <c r="D50" s="127" t="s">
        <v>2</v>
      </c>
      <c r="E50" s="130">
        <v>305.7</v>
      </c>
      <c r="F50" s="130"/>
      <c r="G50" s="184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ht="22.5">
      <c r="A51" s="125"/>
      <c r="B51" s="125"/>
      <c r="C51" s="178" t="s">
        <v>351</v>
      </c>
      <c r="D51" s="127" t="s">
        <v>103</v>
      </c>
      <c r="E51" s="130">
        <f>E50*1.05/2.5</f>
        <v>128.394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ht="11.25">
      <c r="A52" s="125"/>
      <c r="B52" s="125"/>
      <c r="C52" s="178" t="s">
        <v>125</v>
      </c>
      <c r="D52" s="127" t="s">
        <v>103</v>
      </c>
      <c r="E52" s="130">
        <f>((E50)*4*0.3)/25</f>
        <v>14.673599999999999</v>
      </c>
      <c r="F52" s="130"/>
      <c r="G52" s="130"/>
      <c r="H52" s="130"/>
      <c r="I52" s="117"/>
      <c r="J52" s="130"/>
      <c r="K52" s="130"/>
      <c r="L52" s="130"/>
      <c r="M52" s="130"/>
      <c r="N52" s="130"/>
      <c r="O52" s="130"/>
      <c r="P52" s="130"/>
    </row>
    <row r="53" spans="1:16" ht="11.25">
      <c r="A53" s="125" t="s">
        <v>171</v>
      </c>
      <c r="B53" s="125" t="s">
        <v>27</v>
      </c>
      <c r="C53" s="126" t="s">
        <v>352</v>
      </c>
      <c r="D53" s="127" t="s">
        <v>2</v>
      </c>
      <c r="E53" s="130">
        <v>305.7</v>
      </c>
      <c r="F53" s="130"/>
      <c r="G53" s="184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ht="22.5">
      <c r="A54" s="125"/>
      <c r="B54" s="125"/>
      <c r="C54" s="178" t="s">
        <v>353</v>
      </c>
      <c r="D54" s="127" t="s">
        <v>103</v>
      </c>
      <c r="E54" s="130">
        <f>E53*1.05/2.5</f>
        <v>128.394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ht="11.25">
      <c r="A55" s="125"/>
      <c r="B55" s="125"/>
      <c r="C55" s="178" t="s">
        <v>125</v>
      </c>
      <c r="D55" s="127" t="s">
        <v>103</v>
      </c>
      <c r="E55" s="130">
        <f>((E53)*4*0.3)/25</f>
        <v>14.673599999999999</v>
      </c>
      <c r="F55" s="130"/>
      <c r="G55" s="130"/>
      <c r="H55" s="130"/>
      <c r="I55" s="117"/>
      <c r="J55" s="130"/>
      <c r="K55" s="130"/>
      <c r="L55" s="130"/>
      <c r="M55" s="130"/>
      <c r="N55" s="130"/>
      <c r="O55" s="130"/>
      <c r="P55" s="130"/>
    </row>
    <row r="56" spans="1:16" ht="22.5">
      <c r="A56" s="125" t="s">
        <v>172</v>
      </c>
      <c r="B56" s="179" t="s">
        <v>27</v>
      </c>
      <c r="C56" s="187" t="s">
        <v>174</v>
      </c>
      <c r="D56" s="127" t="s">
        <v>102</v>
      </c>
      <c r="E56" s="117">
        <v>1405.32</v>
      </c>
      <c r="F56" s="130"/>
      <c r="G56" s="184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22.5">
      <c r="A57" s="125"/>
      <c r="B57" s="125"/>
      <c r="C57" s="178" t="s">
        <v>173</v>
      </c>
      <c r="D57" s="127" t="s">
        <v>103</v>
      </c>
      <c r="E57" s="130">
        <f>((E56)*0.2)/25</f>
        <v>11.242560000000001</v>
      </c>
      <c r="F57" s="130"/>
      <c r="G57" s="130"/>
      <c r="H57" s="130"/>
      <c r="I57" s="117"/>
      <c r="J57" s="130"/>
      <c r="K57" s="130"/>
      <c r="L57" s="130"/>
      <c r="M57" s="130"/>
      <c r="N57" s="130"/>
      <c r="O57" s="130"/>
      <c r="P57" s="130"/>
    </row>
    <row r="58" spans="1:16" ht="22.5">
      <c r="A58" s="125" t="s">
        <v>231</v>
      </c>
      <c r="B58" s="179" t="s">
        <v>27</v>
      </c>
      <c r="C58" s="187" t="s">
        <v>175</v>
      </c>
      <c r="D58" s="127" t="s">
        <v>102</v>
      </c>
      <c r="E58" s="130">
        <v>160.61999999999998</v>
      </c>
      <c r="F58" s="130"/>
      <c r="G58" s="184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22.5">
      <c r="A59" s="125"/>
      <c r="B59" s="125"/>
      <c r="C59" s="178" t="s">
        <v>173</v>
      </c>
      <c r="D59" s="127" t="s">
        <v>103</v>
      </c>
      <c r="E59" s="130">
        <f>((E58)*0.2)/25</f>
        <v>1.2849599999999999</v>
      </c>
      <c r="F59" s="130"/>
      <c r="G59" s="130"/>
      <c r="H59" s="130"/>
      <c r="I59" s="117"/>
      <c r="J59" s="130"/>
      <c r="K59" s="130"/>
      <c r="L59" s="130"/>
      <c r="M59" s="130"/>
      <c r="N59" s="130"/>
      <c r="O59" s="130"/>
      <c r="P59" s="130"/>
    </row>
    <row r="60" spans="1:16" ht="22.5">
      <c r="A60" s="125" t="s">
        <v>232</v>
      </c>
      <c r="B60" s="179" t="s">
        <v>176</v>
      </c>
      <c r="C60" s="126" t="s">
        <v>177</v>
      </c>
      <c r="D60" s="127" t="s">
        <v>102</v>
      </c>
      <c r="E60" s="117">
        <v>1405.32</v>
      </c>
      <c r="F60" s="130"/>
      <c r="G60" s="184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22.5">
      <c r="A61" s="125"/>
      <c r="B61" s="125"/>
      <c r="C61" s="188" t="s">
        <v>178</v>
      </c>
      <c r="D61" s="127" t="s">
        <v>103</v>
      </c>
      <c r="E61" s="130">
        <f>((E60)*3.3)/25</f>
        <v>185.50223999999997</v>
      </c>
      <c r="F61" s="130"/>
      <c r="G61" s="130"/>
      <c r="H61" s="130"/>
      <c r="I61" s="117"/>
      <c r="J61" s="130"/>
      <c r="K61" s="130"/>
      <c r="L61" s="130"/>
      <c r="M61" s="130"/>
      <c r="N61" s="130"/>
      <c r="O61" s="130"/>
      <c r="P61" s="130"/>
    </row>
    <row r="62" spans="1:16" ht="22.5">
      <c r="A62" s="125"/>
      <c r="B62" s="125"/>
      <c r="C62" s="178" t="s">
        <v>132</v>
      </c>
      <c r="D62" s="127" t="s">
        <v>1</v>
      </c>
      <c r="E62" s="130">
        <f>1.5*(E60)/50</f>
        <v>42.1596</v>
      </c>
      <c r="F62" s="130"/>
      <c r="G62" s="130"/>
      <c r="H62" s="130"/>
      <c r="I62" s="117"/>
      <c r="J62" s="130"/>
      <c r="K62" s="130"/>
      <c r="L62" s="130"/>
      <c r="M62" s="130"/>
      <c r="N62" s="130"/>
      <c r="O62" s="130"/>
      <c r="P62" s="130"/>
    </row>
    <row r="63" spans="1:16" ht="22.5">
      <c r="A63" s="125" t="s">
        <v>233</v>
      </c>
      <c r="B63" s="179" t="s">
        <v>176</v>
      </c>
      <c r="C63" s="126" t="s">
        <v>179</v>
      </c>
      <c r="D63" s="127" t="s">
        <v>102</v>
      </c>
      <c r="E63" s="130">
        <v>160.61999999999998</v>
      </c>
      <c r="F63" s="130"/>
      <c r="G63" s="184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1:16" ht="22.5">
      <c r="A64" s="125"/>
      <c r="B64" s="125"/>
      <c r="C64" s="188" t="s">
        <v>178</v>
      </c>
      <c r="D64" s="127" t="s">
        <v>103</v>
      </c>
      <c r="E64" s="130">
        <f>((E63)*3.3)/25</f>
        <v>21.201839999999997</v>
      </c>
      <c r="F64" s="130"/>
      <c r="G64" s="130"/>
      <c r="H64" s="130"/>
      <c r="I64" s="117"/>
      <c r="J64" s="130"/>
      <c r="K64" s="130"/>
      <c r="L64" s="130"/>
      <c r="M64" s="130"/>
      <c r="N64" s="130"/>
      <c r="O64" s="130"/>
      <c r="P64" s="130"/>
    </row>
    <row r="65" spans="1:16" ht="22.5">
      <c r="A65" s="125"/>
      <c r="B65" s="125"/>
      <c r="C65" s="178" t="s">
        <v>132</v>
      </c>
      <c r="D65" s="127" t="s">
        <v>1</v>
      </c>
      <c r="E65" s="130">
        <f>1.5*(E63)/50</f>
        <v>4.818599999999999</v>
      </c>
      <c r="F65" s="130"/>
      <c r="G65" s="130"/>
      <c r="H65" s="130"/>
      <c r="I65" s="117"/>
      <c r="J65" s="130"/>
      <c r="K65" s="130"/>
      <c r="L65" s="130"/>
      <c r="M65" s="130"/>
      <c r="N65" s="130"/>
      <c r="O65" s="130"/>
      <c r="P65" s="130"/>
    </row>
    <row r="66" spans="1:16" ht="11.25">
      <c r="A66" s="125" t="s">
        <v>361</v>
      </c>
      <c r="B66" s="179" t="s">
        <v>181</v>
      </c>
      <c r="C66" s="126" t="s">
        <v>182</v>
      </c>
      <c r="D66" s="127" t="s">
        <v>102</v>
      </c>
      <c r="E66" s="117">
        <v>1405.32</v>
      </c>
      <c r="F66" s="130"/>
      <c r="G66" s="184"/>
      <c r="H66" s="130"/>
      <c r="I66" s="130"/>
      <c r="J66" s="130"/>
      <c r="K66" s="130"/>
      <c r="L66" s="130"/>
      <c r="M66" s="130"/>
      <c r="N66" s="130"/>
      <c r="O66" s="130"/>
      <c r="P66" s="130"/>
    </row>
    <row r="67" spans="1:16" ht="22.5">
      <c r="A67" s="125"/>
      <c r="B67" s="125"/>
      <c r="C67" s="180" t="s">
        <v>282</v>
      </c>
      <c r="D67" s="127" t="s">
        <v>103</v>
      </c>
      <c r="E67" s="130">
        <f>((E66)*0.2)/9</f>
        <v>31.229333333333336</v>
      </c>
      <c r="F67" s="130"/>
      <c r="G67" s="130"/>
      <c r="H67" s="130"/>
      <c r="I67" s="122"/>
      <c r="J67" s="130"/>
      <c r="K67" s="130"/>
      <c r="L67" s="130"/>
      <c r="M67" s="130"/>
      <c r="N67" s="130"/>
      <c r="O67" s="130"/>
      <c r="P67" s="130"/>
    </row>
    <row r="68" spans="1:16" ht="11.25">
      <c r="A68" s="125" t="s">
        <v>362</v>
      </c>
      <c r="B68" s="179" t="s">
        <v>181</v>
      </c>
      <c r="C68" s="126" t="s">
        <v>184</v>
      </c>
      <c r="D68" s="127" t="s">
        <v>102</v>
      </c>
      <c r="E68" s="130">
        <v>160.61999999999998</v>
      </c>
      <c r="F68" s="130"/>
      <c r="G68" s="184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33.75">
      <c r="A69" s="125"/>
      <c r="B69" s="125"/>
      <c r="C69" s="180" t="s">
        <v>183</v>
      </c>
      <c r="D69" s="127" t="s">
        <v>103</v>
      </c>
      <c r="E69" s="130">
        <f>((E68)*0.2)/9</f>
        <v>3.569333333333333</v>
      </c>
      <c r="F69" s="130"/>
      <c r="G69" s="130"/>
      <c r="H69" s="130"/>
      <c r="I69" s="122"/>
      <c r="J69" s="130"/>
      <c r="K69" s="130"/>
      <c r="L69" s="130"/>
      <c r="M69" s="130"/>
      <c r="N69" s="130"/>
      <c r="O69" s="130"/>
      <c r="P69" s="130"/>
    </row>
    <row r="70" spans="1:16" ht="22.5">
      <c r="A70" s="125" t="s">
        <v>284</v>
      </c>
      <c r="B70" s="125" t="s">
        <v>27</v>
      </c>
      <c r="C70" s="126" t="s">
        <v>194</v>
      </c>
      <c r="D70" s="127" t="s">
        <v>2</v>
      </c>
      <c r="E70" s="130">
        <v>346.1</v>
      </c>
      <c r="F70" s="130"/>
      <c r="G70" s="184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11.25">
      <c r="A71" s="125"/>
      <c r="B71" s="125"/>
      <c r="C71" s="178" t="s">
        <v>195</v>
      </c>
      <c r="D71" s="127" t="s">
        <v>2</v>
      </c>
      <c r="E71" s="130">
        <f>E70*1.1</f>
        <v>380.71000000000004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1.25">
      <c r="A72" s="125"/>
      <c r="B72" s="125"/>
      <c r="C72" s="178" t="s">
        <v>107</v>
      </c>
      <c r="D72" s="127" t="s">
        <v>1</v>
      </c>
      <c r="E72" s="130">
        <f>E71/0.3</f>
        <v>1269.0333333333335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1.25">
      <c r="A73" s="125"/>
      <c r="B73" s="125"/>
      <c r="C73" s="178" t="s">
        <v>196</v>
      </c>
      <c r="D73" s="127" t="s">
        <v>1</v>
      </c>
      <c r="E73" s="130">
        <f>E70*0.025</f>
        <v>8.652500000000002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1.25">
      <c r="A74" s="125"/>
      <c r="B74" s="125"/>
      <c r="C74" s="380" t="s">
        <v>354</v>
      </c>
      <c r="D74" s="127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22.5">
      <c r="A75" s="240">
        <v>1</v>
      </c>
      <c r="B75" s="240" t="s">
        <v>156</v>
      </c>
      <c r="C75" s="126" t="s">
        <v>157</v>
      </c>
      <c r="D75" s="127" t="s">
        <v>143</v>
      </c>
      <c r="E75" s="130">
        <v>70.56</v>
      </c>
      <c r="F75" s="122"/>
      <c r="G75" s="184"/>
      <c r="H75" s="118"/>
      <c r="I75" s="118"/>
      <c r="J75" s="130"/>
      <c r="K75" s="118"/>
      <c r="L75" s="118"/>
      <c r="M75" s="118"/>
      <c r="N75" s="118"/>
      <c r="O75" s="118"/>
      <c r="P75" s="118"/>
    </row>
    <row r="76" spans="1:16" ht="11.25">
      <c r="A76" s="240">
        <v>2</v>
      </c>
      <c r="B76" s="240" t="s">
        <v>27</v>
      </c>
      <c r="C76" s="126" t="s">
        <v>193</v>
      </c>
      <c r="D76" s="127" t="s">
        <v>102</v>
      </c>
      <c r="E76" s="130">
        <v>70.56</v>
      </c>
      <c r="F76" s="122"/>
      <c r="G76" s="184"/>
      <c r="H76" s="118"/>
      <c r="I76" s="118"/>
      <c r="J76" s="130"/>
      <c r="K76" s="118"/>
      <c r="L76" s="118"/>
      <c r="M76" s="118"/>
      <c r="N76" s="118"/>
      <c r="O76" s="118"/>
      <c r="P76" s="118"/>
    </row>
    <row r="77" spans="1:16" ht="33.75">
      <c r="A77" s="125" t="s">
        <v>8</v>
      </c>
      <c r="B77" s="125" t="s">
        <v>158</v>
      </c>
      <c r="C77" s="239" t="s">
        <v>325</v>
      </c>
      <c r="D77" s="127" t="s">
        <v>102</v>
      </c>
      <c r="E77" s="130">
        <v>258.72</v>
      </c>
      <c r="F77" s="130"/>
      <c r="G77" s="184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1.25">
      <c r="A78" s="125"/>
      <c r="B78" s="125"/>
      <c r="C78" s="178" t="s">
        <v>324</v>
      </c>
      <c r="D78" s="127" t="s">
        <v>102</v>
      </c>
      <c r="E78" s="130">
        <f>1.05*E77</f>
        <v>271.65600000000006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1.25">
      <c r="A79" s="125"/>
      <c r="B79" s="125"/>
      <c r="C79" s="134" t="s">
        <v>139</v>
      </c>
      <c r="D79" s="127" t="s">
        <v>103</v>
      </c>
      <c r="E79" s="130">
        <f>((E77)*6)/25</f>
        <v>62.092800000000004</v>
      </c>
      <c r="F79" s="130"/>
      <c r="G79" s="130"/>
      <c r="H79" s="130"/>
      <c r="I79" s="122"/>
      <c r="J79" s="130"/>
      <c r="K79" s="130"/>
      <c r="L79" s="130"/>
      <c r="M79" s="130"/>
      <c r="N79" s="130"/>
      <c r="O79" s="130"/>
      <c r="P79" s="130"/>
    </row>
    <row r="80" spans="1:16" ht="11.25">
      <c r="A80" s="125"/>
      <c r="B80" s="125"/>
      <c r="C80" s="178" t="s">
        <v>155</v>
      </c>
      <c r="D80" s="127" t="s">
        <v>103</v>
      </c>
      <c r="E80" s="130">
        <f>(E77)*4</f>
        <v>1034.88</v>
      </c>
      <c r="F80" s="130"/>
      <c r="G80" s="130"/>
      <c r="H80" s="130"/>
      <c r="I80" s="122"/>
      <c r="J80" s="130"/>
      <c r="K80" s="130"/>
      <c r="L80" s="130"/>
      <c r="M80" s="130"/>
      <c r="N80" s="130"/>
      <c r="O80" s="130"/>
      <c r="P80" s="130"/>
    </row>
    <row r="81" spans="1:16" ht="33.75">
      <c r="A81" s="125" t="s">
        <v>9</v>
      </c>
      <c r="B81" s="179" t="s">
        <v>167</v>
      </c>
      <c r="C81" s="187" t="s">
        <v>191</v>
      </c>
      <c r="D81" s="127" t="s">
        <v>102</v>
      </c>
      <c r="E81" s="130">
        <v>141.12</v>
      </c>
      <c r="F81" s="130"/>
      <c r="G81" s="184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1.25">
      <c r="A82" s="125"/>
      <c r="B82" s="125"/>
      <c r="C82" s="178" t="s">
        <v>168</v>
      </c>
      <c r="D82" s="127" t="s">
        <v>102</v>
      </c>
      <c r="E82" s="130">
        <f>((E81)*1.2)</f>
        <v>169.344</v>
      </c>
      <c r="F82" s="130"/>
      <c r="G82" s="130"/>
      <c r="H82" s="130"/>
      <c r="I82" s="117"/>
      <c r="J82" s="130"/>
      <c r="K82" s="130"/>
      <c r="L82" s="130"/>
      <c r="M82" s="130"/>
      <c r="N82" s="130"/>
      <c r="O82" s="130"/>
      <c r="P82" s="130"/>
    </row>
    <row r="83" spans="1:16" ht="11.25">
      <c r="A83" s="125"/>
      <c r="B83" s="125"/>
      <c r="C83" s="178" t="s">
        <v>125</v>
      </c>
      <c r="D83" s="127" t="s">
        <v>103</v>
      </c>
      <c r="E83" s="130">
        <f>((E81)*4)/25</f>
        <v>22.5792</v>
      </c>
      <c r="F83" s="130"/>
      <c r="G83" s="130"/>
      <c r="H83" s="130"/>
      <c r="I83" s="117"/>
      <c r="J83" s="130"/>
      <c r="K83" s="130"/>
      <c r="L83" s="130"/>
      <c r="M83" s="130"/>
      <c r="N83" s="130"/>
      <c r="O83" s="130"/>
      <c r="P83" s="130"/>
    </row>
    <row r="84" spans="1:16" ht="22.5">
      <c r="A84" s="125" t="s">
        <v>10</v>
      </c>
      <c r="B84" s="125" t="s">
        <v>27</v>
      </c>
      <c r="C84" s="126" t="s">
        <v>189</v>
      </c>
      <c r="D84" s="127" t="s">
        <v>2</v>
      </c>
      <c r="E84" s="130">
        <v>6</v>
      </c>
      <c r="F84" s="130"/>
      <c r="G84" s="184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22.5">
      <c r="A85" s="125"/>
      <c r="B85" s="125"/>
      <c r="C85" s="178" t="s">
        <v>190</v>
      </c>
      <c r="D85" s="127" t="s">
        <v>103</v>
      </c>
      <c r="E85" s="130">
        <f>E84*1.05/2.5</f>
        <v>2.5200000000000005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22.5">
      <c r="A86" s="125" t="s">
        <v>11</v>
      </c>
      <c r="B86" s="179" t="s">
        <v>27</v>
      </c>
      <c r="C86" s="187" t="s">
        <v>192</v>
      </c>
      <c r="D86" s="127" t="s">
        <v>102</v>
      </c>
      <c r="E86" s="130">
        <v>141.12</v>
      </c>
      <c r="F86" s="130"/>
      <c r="G86" s="184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22.5">
      <c r="A87" s="125"/>
      <c r="B87" s="125"/>
      <c r="C87" s="178" t="s">
        <v>173</v>
      </c>
      <c r="D87" s="127" t="s">
        <v>103</v>
      </c>
      <c r="E87" s="130">
        <f>((E86)*0.2)/25</f>
        <v>1.1289600000000002</v>
      </c>
      <c r="F87" s="130"/>
      <c r="G87" s="130"/>
      <c r="H87" s="130"/>
      <c r="I87" s="117"/>
      <c r="J87" s="130"/>
      <c r="K87" s="130"/>
      <c r="L87" s="130"/>
      <c r="M87" s="130"/>
      <c r="N87" s="130"/>
      <c r="O87" s="130"/>
      <c r="P87" s="130"/>
    </row>
    <row r="88" spans="1:16" ht="22.5">
      <c r="A88" s="125" t="s">
        <v>28</v>
      </c>
      <c r="B88" s="179" t="s">
        <v>176</v>
      </c>
      <c r="C88" s="126" t="s">
        <v>180</v>
      </c>
      <c r="D88" s="127" t="s">
        <v>102</v>
      </c>
      <c r="E88" s="130">
        <v>141.12</v>
      </c>
      <c r="F88" s="130"/>
      <c r="G88" s="184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1:16" ht="22.5">
      <c r="A89" s="125"/>
      <c r="B89" s="125"/>
      <c r="C89" s="188" t="s">
        <v>178</v>
      </c>
      <c r="D89" s="127" t="s">
        <v>103</v>
      </c>
      <c r="E89" s="130">
        <f>((E88)*3.3)/25</f>
        <v>18.62784</v>
      </c>
      <c r="F89" s="130"/>
      <c r="G89" s="130"/>
      <c r="H89" s="130"/>
      <c r="I89" s="117"/>
      <c r="J89" s="130"/>
      <c r="K89" s="130"/>
      <c r="L89" s="130"/>
      <c r="M89" s="130"/>
      <c r="N89" s="130"/>
      <c r="O89" s="130"/>
      <c r="P89" s="130"/>
    </row>
    <row r="90" spans="1:16" ht="22.5">
      <c r="A90" s="125"/>
      <c r="B90" s="125"/>
      <c r="C90" s="178" t="s">
        <v>132</v>
      </c>
      <c r="D90" s="127" t="s">
        <v>1</v>
      </c>
      <c r="E90" s="130">
        <f>1.5*(E88)/50</f>
        <v>4.2336</v>
      </c>
      <c r="F90" s="130"/>
      <c r="G90" s="130"/>
      <c r="H90" s="130"/>
      <c r="I90" s="117"/>
      <c r="J90" s="130"/>
      <c r="K90" s="130"/>
      <c r="L90" s="130"/>
      <c r="M90" s="130"/>
      <c r="N90" s="130"/>
      <c r="O90" s="130"/>
      <c r="P90" s="130"/>
    </row>
    <row r="91" spans="1:16" ht="11.25">
      <c r="A91" s="125" t="s">
        <v>29</v>
      </c>
      <c r="B91" s="179" t="s">
        <v>181</v>
      </c>
      <c r="C91" s="126" t="s">
        <v>230</v>
      </c>
      <c r="D91" s="127" t="s">
        <v>102</v>
      </c>
      <c r="E91" s="130">
        <v>141.12</v>
      </c>
      <c r="F91" s="130"/>
      <c r="G91" s="184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22.5">
      <c r="A92" s="125"/>
      <c r="B92" s="125"/>
      <c r="C92" s="180" t="s">
        <v>282</v>
      </c>
      <c r="D92" s="127" t="s">
        <v>103</v>
      </c>
      <c r="E92" s="130">
        <f>((E91)*0.2)/9</f>
        <v>3.1360000000000006</v>
      </c>
      <c r="F92" s="130"/>
      <c r="G92" s="130"/>
      <c r="H92" s="130"/>
      <c r="I92" s="122"/>
      <c r="J92" s="130"/>
      <c r="K92" s="130"/>
      <c r="L92" s="130"/>
      <c r="M92" s="130"/>
      <c r="N92" s="130"/>
      <c r="O92" s="130"/>
      <c r="P92" s="130"/>
    </row>
    <row r="93" spans="1:16" ht="11.25">
      <c r="A93" s="183" t="s">
        <v>33</v>
      </c>
      <c r="B93" s="183" t="s">
        <v>27</v>
      </c>
      <c r="C93" s="242" t="s">
        <v>159</v>
      </c>
      <c r="D93" s="127" t="s">
        <v>143</v>
      </c>
      <c r="E93" s="130">
        <v>70.56</v>
      </c>
      <c r="F93" s="184"/>
      <c r="G93" s="184"/>
      <c r="H93" s="184"/>
      <c r="I93" s="184"/>
      <c r="J93" s="130"/>
      <c r="K93" s="184"/>
      <c r="L93" s="184"/>
      <c r="M93" s="184"/>
      <c r="N93" s="184"/>
      <c r="O93" s="184"/>
      <c r="P93" s="184"/>
    </row>
    <row r="94" spans="1:16" ht="11.25">
      <c r="A94" s="386">
        <v>10</v>
      </c>
      <c r="B94" s="209" t="s">
        <v>160</v>
      </c>
      <c r="C94" s="210" t="s">
        <v>161</v>
      </c>
      <c r="D94" s="211" t="s">
        <v>102</v>
      </c>
      <c r="E94" s="130">
        <v>70.56</v>
      </c>
      <c r="F94" s="212"/>
      <c r="G94" s="184"/>
      <c r="H94" s="212"/>
      <c r="I94" s="212"/>
      <c r="J94" s="130"/>
      <c r="K94" s="212"/>
      <c r="L94" s="212"/>
      <c r="M94" s="212"/>
      <c r="N94" s="212"/>
      <c r="O94" s="212"/>
      <c r="P94" s="212"/>
    </row>
    <row r="95" spans="1:16" ht="11.25">
      <c r="A95" s="386"/>
      <c r="B95" s="209"/>
      <c r="C95" s="213" t="s">
        <v>162</v>
      </c>
      <c r="D95" s="211" t="s">
        <v>163</v>
      </c>
      <c r="E95" s="212">
        <f>E94*1.2*1.6*0.1</f>
        <v>13.54752</v>
      </c>
      <c r="F95" s="212"/>
      <c r="G95" s="210"/>
      <c r="H95" s="210"/>
      <c r="I95" s="130"/>
      <c r="J95" s="210"/>
      <c r="K95" s="212"/>
      <c r="L95" s="212"/>
      <c r="M95" s="210"/>
      <c r="N95" s="212"/>
      <c r="O95" s="212"/>
      <c r="P95" s="212"/>
    </row>
    <row r="96" spans="1:16" ht="11.25">
      <c r="A96" s="386"/>
      <c r="B96" s="209"/>
      <c r="C96" s="213" t="s">
        <v>164</v>
      </c>
      <c r="D96" s="211" t="s">
        <v>163</v>
      </c>
      <c r="E96" s="212">
        <f>E94*1.05*1.6*0.04</f>
        <v>4.741632000000001</v>
      </c>
      <c r="F96" s="212"/>
      <c r="G96" s="210"/>
      <c r="H96" s="210"/>
      <c r="I96" s="130"/>
      <c r="J96" s="210"/>
      <c r="K96" s="212"/>
      <c r="L96" s="212"/>
      <c r="M96" s="210"/>
      <c r="N96" s="212"/>
      <c r="O96" s="212"/>
      <c r="P96" s="212"/>
    </row>
    <row r="97" spans="1:16" ht="11.25">
      <c r="A97" s="387"/>
      <c r="B97" s="214"/>
      <c r="C97" s="215" t="s">
        <v>247</v>
      </c>
      <c r="D97" s="216" t="s">
        <v>2</v>
      </c>
      <c r="E97" s="217">
        <f>E94/0.6</f>
        <v>117.60000000000001</v>
      </c>
      <c r="F97" s="217"/>
      <c r="G97" s="218"/>
      <c r="H97" s="218"/>
      <c r="I97" s="217"/>
      <c r="J97" s="218"/>
      <c r="K97" s="217"/>
      <c r="L97" s="217"/>
      <c r="M97" s="218"/>
      <c r="N97" s="217"/>
      <c r="O97" s="217"/>
      <c r="P97" s="217"/>
    </row>
    <row r="98" spans="1:16" ht="11.25">
      <c r="A98" s="219"/>
      <c r="B98" s="219"/>
      <c r="C98" s="220" t="s">
        <v>248</v>
      </c>
      <c r="D98" s="205" t="s">
        <v>143</v>
      </c>
      <c r="E98" s="388">
        <f>0.025*E97</f>
        <v>2.9400000000000004</v>
      </c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</row>
    <row r="99" spans="1:16" ht="11.25">
      <c r="A99" s="386"/>
      <c r="B99" s="209"/>
      <c r="C99" s="213" t="s">
        <v>165</v>
      </c>
      <c r="D99" s="211" t="s">
        <v>102</v>
      </c>
      <c r="E99" s="212">
        <f>1.05*E94</f>
        <v>74.08800000000001</v>
      </c>
      <c r="F99" s="212"/>
      <c r="G99" s="210"/>
      <c r="H99" s="210"/>
      <c r="I99" s="212"/>
      <c r="J99" s="210"/>
      <c r="K99" s="212"/>
      <c r="L99" s="212"/>
      <c r="M99" s="210"/>
      <c r="N99" s="212"/>
      <c r="O99" s="212"/>
      <c r="P99" s="212"/>
    </row>
    <row r="100" spans="1:16" ht="11.25">
      <c r="A100" s="389"/>
      <c r="B100" s="390"/>
      <c r="C100" s="391" t="s">
        <v>356</v>
      </c>
      <c r="D100" s="392"/>
      <c r="E100" s="393"/>
      <c r="F100" s="393"/>
      <c r="G100" s="394"/>
      <c r="H100" s="394"/>
      <c r="I100" s="393"/>
      <c r="J100" s="394"/>
      <c r="K100" s="393"/>
      <c r="L100" s="393"/>
      <c r="M100" s="394"/>
      <c r="N100" s="393"/>
      <c r="O100" s="393"/>
      <c r="P100" s="393"/>
    </row>
    <row r="101" spans="1:16" ht="56.25">
      <c r="A101" s="150" t="s">
        <v>6</v>
      </c>
      <c r="B101" s="150" t="s">
        <v>27</v>
      </c>
      <c r="C101" s="360" t="s">
        <v>357</v>
      </c>
      <c r="D101" s="138" t="s">
        <v>105</v>
      </c>
      <c r="E101" s="117">
        <v>100.8</v>
      </c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</row>
    <row r="102" spans="1:16" ht="11.25">
      <c r="A102" s="150"/>
      <c r="B102" s="150"/>
      <c r="C102" s="120" t="s">
        <v>83</v>
      </c>
      <c r="D102" s="138" t="s">
        <v>102</v>
      </c>
      <c r="E102" s="117">
        <f>E101</f>
        <v>100.8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</row>
    <row r="103" spans="1:16" ht="22.5">
      <c r="A103" s="150" t="s">
        <v>7</v>
      </c>
      <c r="B103" s="150" t="s">
        <v>27</v>
      </c>
      <c r="C103" s="360" t="s">
        <v>358</v>
      </c>
      <c r="D103" s="138" t="s">
        <v>105</v>
      </c>
      <c r="E103" s="117">
        <v>100.8</v>
      </c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</row>
    <row r="104" spans="1:16" ht="11.25">
      <c r="A104" s="150"/>
      <c r="B104" s="150"/>
      <c r="C104" s="120" t="s">
        <v>306</v>
      </c>
      <c r="D104" s="138" t="s">
        <v>106</v>
      </c>
      <c r="E104" s="117">
        <f>E103*0.2*1.1</f>
        <v>22.176000000000002</v>
      </c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</row>
    <row r="105" spans="1:16" ht="11.25">
      <c r="A105" s="150"/>
      <c r="B105" s="150"/>
      <c r="C105" s="120" t="s">
        <v>281</v>
      </c>
      <c r="D105" s="138" t="s">
        <v>0</v>
      </c>
      <c r="E105" s="117">
        <v>1</v>
      </c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</row>
    <row r="106" spans="1:16" ht="22.5">
      <c r="A106" s="150" t="s">
        <v>8</v>
      </c>
      <c r="B106" s="150" t="s">
        <v>27</v>
      </c>
      <c r="C106" s="360" t="s">
        <v>359</v>
      </c>
      <c r="D106" s="138" t="s">
        <v>105</v>
      </c>
      <c r="E106" s="117">
        <v>100.8</v>
      </c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</row>
    <row r="107" spans="1:16" ht="11.25">
      <c r="A107" s="150"/>
      <c r="B107" s="150"/>
      <c r="C107" s="120" t="s">
        <v>308</v>
      </c>
      <c r="D107" s="138" t="s">
        <v>106</v>
      </c>
      <c r="E107" s="117">
        <f>E106*1.35*1.1</f>
        <v>149.68800000000002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</row>
    <row r="108" spans="1:16" ht="11.25">
      <c r="A108" s="150"/>
      <c r="B108" s="150"/>
      <c r="C108" s="120" t="s">
        <v>281</v>
      </c>
      <c r="D108" s="138" t="s">
        <v>0</v>
      </c>
      <c r="E108" s="117">
        <v>1</v>
      </c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16" ht="22.5">
      <c r="A109" s="189">
        <v>4</v>
      </c>
      <c r="B109" s="240" t="s">
        <v>309</v>
      </c>
      <c r="C109" s="368" t="s">
        <v>360</v>
      </c>
      <c r="D109" s="369" t="s">
        <v>2</v>
      </c>
      <c r="E109" s="370">
        <v>235.2</v>
      </c>
      <c r="F109" s="371"/>
      <c r="G109" s="117"/>
      <c r="H109" s="118"/>
      <c r="I109" s="118"/>
      <c r="J109" s="118"/>
      <c r="K109" s="145"/>
      <c r="L109" s="146"/>
      <c r="M109" s="118"/>
      <c r="N109" s="118"/>
      <c r="O109" s="118"/>
      <c r="P109" s="145"/>
    </row>
    <row r="110" spans="1:16" ht="12">
      <c r="A110" s="372"/>
      <c r="B110" s="240"/>
      <c r="C110" s="373" t="s">
        <v>313</v>
      </c>
      <c r="D110" s="369" t="s">
        <v>2</v>
      </c>
      <c r="E110" s="370">
        <f>E109*1.1</f>
        <v>258.72</v>
      </c>
      <c r="F110" s="374"/>
      <c r="G110" s="118"/>
      <c r="H110" s="118"/>
      <c r="I110" s="117"/>
      <c r="J110" s="118"/>
      <c r="K110" s="145"/>
      <c r="L110" s="146"/>
      <c r="M110" s="118"/>
      <c r="N110" s="118"/>
      <c r="O110" s="118"/>
      <c r="P110" s="145"/>
    </row>
    <row r="111" spans="1:16" ht="12">
      <c r="A111" s="372"/>
      <c r="B111" s="240"/>
      <c r="C111" s="373" t="s">
        <v>107</v>
      </c>
      <c r="D111" s="369" t="s">
        <v>103</v>
      </c>
      <c r="E111" s="370">
        <f>5*E109</f>
        <v>1176</v>
      </c>
      <c r="F111" s="374"/>
      <c r="G111" s="118"/>
      <c r="H111" s="118"/>
      <c r="I111" s="117"/>
      <c r="J111" s="118"/>
      <c r="K111" s="145"/>
      <c r="L111" s="146"/>
      <c r="M111" s="118"/>
      <c r="N111" s="118"/>
      <c r="O111" s="118"/>
      <c r="P111" s="145"/>
    </row>
    <row r="112" spans="1:16" ht="22.5">
      <c r="A112" s="372"/>
      <c r="B112" s="240"/>
      <c r="C112" s="123" t="s">
        <v>310</v>
      </c>
      <c r="D112" s="369" t="s">
        <v>103</v>
      </c>
      <c r="E112" s="370">
        <v>1</v>
      </c>
      <c r="F112" s="374"/>
      <c r="G112" s="118"/>
      <c r="H112" s="118"/>
      <c r="I112" s="117"/>
      <c r="J112" s="118"/>
      <c r="K112" s="145"/>
      <c r="L112" s="146"/>
      <c r="M112" s="118"/>
      <c r="N112" s="118"/>
      <c r="O112" s="118"/>
      <c r="P112" s="145"/>
    </row>
    <row r="113" spans="1:16" ht="22.5">
      <c r="A113" s="125" t="s">
        <v>10</v>
      </c>
      <c r="B113" s="179" t="s">
        <v>27</v>
      </c>
      <c r="C113" s="187" t="s">
        <v>326</v>
      </c>
      <c r="D113" s="127" t="s">
        <v>102</v>
      </c>
      <c r="E113" s="117">
        <v>100.8</v>
      </c>
      <c r="F113" s="130"/>
      <c r="G113" s="184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22.5">
      <c r="A114" s="125"/>
      <c r="B114" s="125"/>
      <c r="C114" s="178" t="s">
        <v>173</v>
      </c>
      <c r="D114" s="127" t="s">
        <v>103</v>
      </c>
      <c r="E114" s="130">
        <f>((E113)*0.2)/25</f>
        <v>0.8064</v>
      </c>
      <c r="F114" s="130"/>
      <c r="G114" s="130"/>
      <c r="H114" s="130"/>
      <c r="I114" s="117"/>
      <c r="J114" s="130"/>
      <c r="K114" s="130"/>
      <c r="L114" s="130"/>
      <c r="M114" s="130"/>
      <c r="N114" s="130"/>
      <c r="O114" s="130"/>
      <c r="P114" s="130"/>
    </row>
    <row r="115" spans="1:16" ht="11.25">
      <c r="A115" s="125" t="s">
        <v>11</v>
      </c>
      <c r="B115" s="179" t="s">
        <v>181</v>
      </c>
      <c r="C115" s="126" t="s">
        <v>327</v>
      </c>
      <c r="D115" s="127" t="s">
        <v>102</v>
      </c>
      <c r="E115" s="117">
        <v>100.8</v>
      </c>
      <c r="F115" s="130"/>
      <c r="G115" s="184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22.5">
      <c r="A116" s="125"/>
      <c r="B116" s="125"/>
      <c r="C116" s="180" t="s">
        <v>282</v>
      </c>
      <c r="D116" s="127" t="s">
        <v>103</v>
      </c>
      <c r="E116" s="130">
        <f>((E115)*0.35)/9</f>
        <v>3.9199999999999995</v>
      </c>
      <c r="F116" s="130"/>
      <c r="G116" s="130"/>
      <c r="H116" s="130"/>
      <c r="I116" s="122"/>
      <c r="J116" s="130"/>
      <c r="K116" s="130"/>
      <c r="L116" s="130"/>
      <c r="M116" s="130"/>
      <c r="N116" s="130"/>
      <c r="O116" s="130"/>
      <c r="P116" s="130"/>
    </row>
    <row r="117" spans="1:16" ht="11.25">
      <c r="A117" s="183" t="s">
        <v>28</v>
      </c>
      <c r="B117" s="183" t="s">
        <v>27</v>
      </c>
      <c r="C117" s="242" t="s">
        <v>328</v>
      </c>
      <c r="D117" s="127" t="s">
        <v>102</v>
      </c>
      <c r="E117" s="130">
        <v>123.48</v>
      </c>
      <c r="F117" s="184"/>
      <c r="G117" s="184"/>
      <c r="H117" s="184"/>
      <c r="I117" s="184"/>
      <c r="J117" s="130"/>
      <c r="K117" s="184"/>
      <c r="L117" s="184"/>
      <c r="M117" s="184"/>
      <c r="N117" s="184"/>
      <c r="O117" s="184"/>
      <c r="P117" s="184"/>
    </row>
    <row r="118" spans="1:16" ht="11.25">
      <c r="A118" s="125" t="s">
        <v>29</v>
      </c>
      <c r="B118" s="125" t="s">
        <v>228</v>
      </c>
      <c r="C118" s="126" t="s">
        <v>329</v>
      </c>
      <c r="D118" s="127" t="s">
        <v>105</v>
      </c>
      <c r="E118" s="130">
        <v>123.48</v>
      </c>
      <c r="F118" s="130"/>
      <c r="G118" s="184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1:16" ht="11.25">
      <c r="A119" s="125"/>
      <c r="B119" s="125"/>
      <c r="C119" s="134" t="s">
        <v>330</v>
      </c>
      <c r="D119" s="127" t="s">
        <v>102</v>
      </c>
      <c r="E119" s="130">
        <f>1.05*E118</f>
        <v>129.654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1:16" ht="11.25">
      <c r="A120" s="125"/>
      <c r="B120" s="125"/>
      <c r="C120" s="134" t="s">
        <v>107</v>
      </c>
      <c r="D120" s="127" t="s">
        <v>103</v>
      </c>
      <c r="E120" s="130">
        <f>8*E118</f>
        <v>987.84</v>
      </c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1:16" ht="33.75">
      <c r="A121" s="133">
        <v>9</v>
      </c>
      <c r="B121" s="125" t="s">
        <v>27</v>
      </c>
      <c r="C121" s="126" t="s">
        <v>331</v>
      </c>
      <c r="D121" s="127" t="s">
        <v>101</v>
      </c>
      <c r="E121" s="130">
        <v>137.2</v>
      </c>
      <c r="F121" s="130"/>
      <c r="G121" s="184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1:16" ht="11.25">
      <c r="A122" s="133"/>
      <c r="B122" s="133"/>
      <c r="C122" s="134" t="s">
        <v>332</v>
      </c>
      <c r="D122" s="127" t="s">
        <v>101</v>
      </c>
      <c r="E122" s="130">
        <f>E121*1.1</f>
        <v>150.92</v>
      </c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1:16" ht="11.25">
      <c r="A123" s="133"/>
      <c r="B123" s="133"/>
      <c r="C123" s="134" t="s">
        <v>107</v>
      </c>
      <c r="D123" s="127" t="s">
        <v>103</v>
      </c>
      <c r="E123" s="130">
        <f>E121*3</f>
        <v>411.59999999999997</v>
      </c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1:16" ht="11.25">
      <c r="A124" s="125" t="s">
        <v>166</v>
      </c>
      <c r="B124" s="125" t="s">
        <v>27</v>
      </c>
      <c r="C124" s="126" t="s">
        <v>333</v>
      </c>
      <c r="D124" s="127" t="s">
        <v>103</v>
      </c>
      <c r="E124" s="130">
        <v>3</v>
      </c>
      <c r="F124" s="130"/>
      <c r="G124" s="184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1:16" ht="11.25">
      <c r="A125" s="125"/>
      <c r="B125" s="125"/>
      <c r="C125" s="178" t="s">
        <v>83</v>
      </c>
      <c r="D125" s="127" t="s">
        <v>103</v>
      </c>
      <c r="E125" s="130">
        <f>E124</f>
        <v>3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1:16" ht="11.25">
      <c r="A126" s="386"/>
      <c r="B126" s="209"/>
      <c r="C126" s="213"/>
      <c r="D126" s="211"/>
      <c r="E126" s="212"/>
      <c r="F126" s="212"/>
      <c r="G126" s="210"/>
      <c r="H126" s="210"/>
      <c r="I126" s="212"/>
      <c r="J126" s="210"/>
      <c r="K126" s="212"/>
      <c r="L126" s="212"/>
      <c r="M126" s="210"/>
      <c r="N126" s="212"/>
      <c r="O126" s="212"/>
      <c r="P126" s="212"/>
    </row>
    <row r="127" spans="1:16" ht="12" thickBot="1">
      <c r="A127" s="501" t="s">
        <v>5</v>
      </c>
      <c r="B127" s="502"/>
      <c r="C127" s="502"/>
      <c r="D127" s="502"/>
      <c r="E127" s="502"/>
      <c r="F127" s="502"/>
      <c r="G127" s="502"/>
      <c r="H127" s="502"/>
      <c r="I127" s="502"/>
      <c r="J127" s="502"/>
      <c r="K127" s="503"/>
      <c r="L127" s="312">
        <f>SUM(L19:L126)</f>
        <v>0</v>
      </c>
      <c r="M127" s="296">
        <f>SUM(M19:M126)</f>
        <v>0</v>
      </c>
      <c r="N127" s="296">
        <f>SUM(N19:N126)/2</f>
        <v>0</v>
      </c>
      <c r="O127" s="296">
        <f>SUM(O19:O126)</f>
        <v>0</v>
      </c>
      <c r="P127" s="313">
        <f>SUM(P19:P126)</f>
        <v>0</v>
      </c>
    </row>
    <row r="128" spans="1:16" ht="12" thickBot="1">
      <c r="A128" s="491" t="s">
        <v>506</v>
      </c>
      <c r="B128" s="492"/>
      <c r="C128" s="492"/>
      <c r="D128" s="492"/>
      <c r="E128" s="492"/>
      <c r="F128" s="492"/>
      <c r="G128" s="492"/>
      <c r="H128" s="492"/>
      <c r="I128" s="492"/>
      <c r="J128" s="492"/>
      <c r="K128" s="493"/>
      <c r="L128" s="299"/>
      <c r="M128" s="300"/>
      <c r="N128" s="300"/>
      <c r="O128" s="300"/>
      <c r="P128" s="301">
        <f>0.07*N127</f>
        <v>0</v>
      </c>
    </row>
    <row r="129" spans="1:16" ht="12" thickBot="1">
      <c r="A129" s="485" t="s">
        <v>5</v>
      </c>
      <c r="B129" s="486"/>
      <c r="C129" s="486"/>
      <c r="D129" s="486"/>
      <c r="E129" s="486"/>
      <c r="F129" s="486"/>
      <c r="G129" s="486"/>
      <c r="H129" s="486"/>
      <c r="I129" s="486"/>
      <c r="J129" s="486"/>
      <c r="K129" s="487"/>
      <c r="L129" s="314">
        <f>SUM(L127:L128)</f>
        <v>0</v>
      </c>
      <c r="M129" s="303">
        <f>SUM(M127:M128)</f>
        <v>0</v>
      </c>
      <c r="N129" s="303">
        <f>SUM(N127:N128)</f>
        <v>0</v>
      </c>
      <c r="O129" s="303">
        <f>SUM(O127:O128)</f>
        <v>0</v>
      </c>
      <c r="P129" s="304">
        <f>SUM(P127:P128)</f>
        <v>0</v>
      </c>
    </row>
    <row r="132" spans="1:8" ht="11.25">
      <c r="A132" s="305" t="s">
        <v>507</v>
      </c>
      <c r="B132" s="306"/>
      <c r="H132" s="305" t="s">
        <v>503</v>
      </c>
    </row>
    <row r="133" ht="11.25">
      <c r="F133" s="308"/>
    </row>
  </sheetData>
  <sheetProtection/>
  <mergeCells count="16">
    <mergeCell ref="A1:P1"/>
    <mergeCell ref="A2:P3"/>
    <mergeCell ref="A5:P5"/>
    <mergeCell ref="A6:P6"/>
    <mergeCell ref="L12:N12"/>
    <mergeCell ref="E16:E17"/>
    <mergeCell ref="F16:K16"/>
    <mergeCell ref="L16:P16"/>
    <mergeCell ref="O12:P12"/>
    <mergeCell ref="A129:K129"/>
    <mergeCell ref="A127:K127"/>
    <mergeCell ref="A128:K128"/>
    <mergeCell ref="A16:A17"/>
    <mergeCell ref="B16:B17"/>
    <mergeCell ref="C16:C17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4"/>
  <sheetViews>
    <sheetView showZeros="0" zoomScale="92" zoomScaleNormal="92" zoomScalePageLayoutView="0" workbookViewId="0" topLeftCell="A1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28.710937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7109375" style="207" bestFit="1" customWidth="1"/>
    <col min="9" max="9" width="7.7109375" style="207" bestFit="1" customWidth="1"/>
    <col min="10" max="10" width="6.7109375" style="207" bestFit="1" customWidth="1"/>
    <col min="11" max="11" width="8.140625" style="207" bestFit="1" customWidth="1"/>
    <col min="12" max="12" width="8.28125" style="207" customWidth="1"/>
    <col min="13" max="13" width="9.8515625" style="207" customWidth="1"/>
    <col min="14" max="14" width="9.7109375" style="207" bestFit="1" customWidth="1"/>
    <col min="15" max="15" width="8.71093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335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'O1'!B27</f>
        <v>Apkures sistēmas renovācija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'O1'!A8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P210</f>
        <v>0</v>
      </c>
      <c r="P12" s="475"/>
    </row>
    <row r="13" spans="1:16" ht="14.25">
      <c r="A13" s="284" t="s">
        <v>513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91.5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11.25">
      <c r="A18" s="345"/>
      <c r="B18" s="412"/>
      <c r="C18" s="413" t="s">
        <v>363</v>
      </c>
      <c r="D18" s="414"/>
      <c r="E18" s="415"/>
      <c r="F18" s="416"/>
      <c r="G18" s="417"/>
      <c r="H18" s="417"/>
      <c r="I18" s="417"/>
      <c r="J18" s="417"/>
      <c r="K18" s="418"/>
      <c r="L18" s="348"/>
      <c r="M18" s="346"/>
      <c r="N18" s="346"/>
      <c r="O18" s="346"/>
      <c r="P18" s="418"/>
    </row>
    <row r="19" spans="1:16" ht="22.5">
      <c r="A19" s="347">
        <f aca="true" t="shared" si="0" ref="A19:A82">A18+1</f>
        <v>1</v>
      </c>
      <c r="B19" s="343" t="s">
        <v>336</v>
      </c>
      <c r="C19" s="396" t="s">
        <v>364</v>
      </c>
      <c r="D19" s="397" t="s">
        <v>101</v>
      </c>
      <c r="E19" s="395">
        <v>348</v>
      </c>
      <c r="F19" s="349"/>
      <c r="G19" s="344"/>
      <c r="H19" s="344"/>
      <c r="I19" s="344"/>
      <c r="J19" s="344"/>
      <c r="K19" s="398"/>
      <c r="L19" s="399"/>
      <c r="M19" s="400"/>
      <c r="N19" s="400"/>
      <c r="O19" s="400"/>
      <c r="P19" s="398"/>
    </row>
    <row r="20" spans="1:16" ht="33.75">
      <c r="A20" s="347">
        <f t="shared" si="0"/>
        <v>2</v>
      </c>
      <c r="B20" s="343" t="s">
        <v>336</v>
      </c>
      <c r="C20" s="401" t="s">
        <v>365</v>
      </c>
      <c r="D20" s="397" t="s">
        <v>101</v>
      </c>
      <c r="E20" s="395">
        <v>348</v>
      </c>
      <c r="F20" s="349"/>
      <c r="G20" s="344"/>
      <c r="H20" s="344"/>
      <c r="I20" s="344"/>
      <c r="J20" s="344"/>
      <c r="K20" s="398"/>
      <c r="L20" s="399"/>
      <c r="M20" s="400"/>
      <c r="N20" s="400"/>
      <c r="O20" s="400"/>
      <c r="P20" s="398"/>
    </row>
    <row r="21" spans="1:16" ht="11.25">
      <c r="A21" s="347">
        <f t="shared" si="0"/>
        <v>3</v>
      </c>
      <c r="B21" s="343" t="s">
        <v>336</v>
      </c>
      <c r="C21" s="419" t="s">
        <v>366</v>
      </c>
      <c r="D21" s="397" t="s">
        <v>101</v>
      </c>
      <c r="E21" s="395">
        <v>80</v>
      </c>
      <c r="F21" s="349"/>
      <c r="G21" s="344"/>
      <c r="H21" s="344"/>
      <c r="I21" s="344"/>
      <c r="J21" s="344"/>
      <c r="K21" s="398"/>
      <c r="L21" s="399"/>
      <c r="M21" s="400"/>
      <c r="N21" s="400"/>
      <c r="O21" s="400"/>
      <c r="P21" s="398"/>
    </row>
    <row r="22" spans="1:16" ht="11.25">
      <c r="A22" s="347">
        <f t="shared" si="0"/>
        <v>4</v>
      </c>
      <c r="B22" s="343" t="s">
        <v>336</v>
      </c>
      <c r="C22" s="402" t="s">
        <v>367</v>
      </c>
      <c r="D22" s="397" t="s">
        <v>101</v>
      </c>
      <c r="E22" s="395">
        <v>220</v>
      </c>
      <c r="F22" s="349"/>
      <c r="G22" s="344"/>
      <c r="H22" s="344"/>
      <c r="I22" s="344"/>
      <c r="J22" s="344"/>
      <c r="K22" s="398"/>
      <c r="L22" s="399"/>
      <c r="M22" s="400"/>
      <c r="N22" s="400"/>
      <c r="O22" s="400"/>
      <c r="P22" s="398"/>
    </row>
    <row r="23" spans="1:16" ht="11.25">
      <c r="A23" s="347">
        <f t="shared" si="0"/>
        <v>5</v>
      </c>
      <c r="B23" s="343" t="s">
        <v>336</v>
      </c>
      <c r="C23" s="419" t="s">
        <v>368</v>
      </c>
      <c r="D23" s="397" t="s">
        <v>101</v>
      </c>
      <c r="E23" s="395">
        <v>48</v>
      </c>
      <c r="F23" s="349"/>
      <c r="G23" s="344"/>
      <c r="H23" s="344"/>
      <c r="I23" s="344"/>
      <c r="J23" s="344"/>
      <c r="K23" s="398"/>
      <c r="L23" s="399"/>
      <c r="M23" s="400"/>
      <c r="N23" s="400"/>
      <c r="O23" s="400"/>
      <c r="P23" s="398"/>
    </row>
    <row r="24" spans="1:16" ht="33.75">
      <c r="A24" s="347">
        <f t="shared" si="0"/>
        <v>6</v>
      </c>
      <c r="B24" s="343" t="s">
        <v>336</v>
      </c>
      <c r="C24" s="401" t="s">
        <v>369</v>
      </c>
      <c r="D24" s="397" t="s">
        <v>370</v>
      </c>
      <c r="E24" s="403">
        <v>19</v>
      </c>
      <c r="F24" s="349"/>
      <c r="G24" s="344"/>
      <c r="H24" s="344"/>
      <c r="I24" s="344"/>
      <c r="J24" s="344"/>
      <c r="K24" s="398"/>
      <c r="L24" s="399"/>
      <c r="M24" s="400"/>
      <c r="N24" s="400"/>
      <c r="O24" s="400"/>
      <c r="P24" s="398"/>
    </row>
    <row r="25" spans="1:16" ht="22.5">
      <c r="A25" s="347">
        <f t="shared" si="0"/>
        <v>7</v>
      </c>
      <c r="B25" s="343" t="s">
        <v>336</v>
      </c>
      <c r="C25" s="404" t="s">
        <v>371</v>
      </c>
      <c r="D25" s="397" t="s">
        <v>1</v>
      </c>
      <c r="E25" s="395">
        <v>19</v>
      </c>
      <c r="F25" s="349"/>
      <c r="G25" s="344"/>
      <c r="H25" s="344"/>
      <c r="I25" s="344"/>
      <c r="J25" s="344"/>
      <c r="K25" s="398"/>
      <c r="L25" s="399"/>
      <c r="M25" s="400"/>
      <c r="N25" s="400"/>
      <c r="O25" s="400"/>
      <c r="P25" s="398"/>
    </row>
    <row r="26" spans="1:16" ht="22.5">
      <c r="A26" s="347">
        <f t="shared" si="0"/>
        <v>8</v>
      </c>
      <c r="B26" s="343" t="s">
        <v>336</v>
      </c>
      <c r="C26" s="402" t="s">
        <v>372</v>
      </c>
      <c r="D26" s="397" t="s">
        <v>1</v>
      </c>
      <c r="E26" s="395">
        <v>38</v>
      </c>
      <c r="F26" s="349"/>
      <c r="G26" s="344"/>
      <c r="H26" s="344"/>
      <c r="I26" s="344"/>
      <c r="J26" s="344"/>
      <c r="K26" s="398"/>
      <c r="L26" s="399"/>
      <c r="M26" s="400"/>
      <c r="N26" s="400"/>
      <c r="O26" s="400"/>
      <c r="P26" s="398"/>
    </row>
    <row r="27" spans="1:16" ht="22.5">
      <c r="A27" s="347">
        <f t="shared" si="0"/>
        <v>9</v>
      </c>
      <c r="B27" s="343" t="s">
        <v>336</v>
      </c>
      <c r="C27" s="405" t="s">
        <v>373</v>
      </c>
      <c r="D27" s="397" t="s">
        <v>1</v>
      </c>
      <c r="E27" s="395">
        <v>38</v>
      </c>
      <c r="F27" s="349"/>
      <c r="G27" s="344"/>
      <c r="H27" s="344"/>
      <c r="I27" s="344"/>
      <c r="J27" s="344"/>
      <c r="K27" s="398"/>
      <c r="L27" s="399"/>
      <c r="M27" s="400"/>
      <c r="N27" s="400"/>
      <c r="O27" s="400"/>
      <c r="P27" s="398"/>
    </row>
    <row r="28" spans="1:16" ht="11.25">
      <c r="A28" s="347">
        <f t="shared" si="0"/>
        <v>10</v>
      </c>
      <c r="B28" s="343" t="s">
        <v>336</v>
      </c>
      <c r="C28" s="404" t="s">
        <v>374</v>
      </c>
      <c r="D28" s="397" t="s">
        <v>1</v>
      </c>
      <c r="E28" s="395">
        <v>38</v>
      </c>
      <c r="F28" s="349"/>
      <c r="G28" s="344"/>
      <c r="H28" s="344"/>
      <c r="I28" s="344"/>
      <c r="J28" s="344"/>
      <c r="K28" s="398"/>
      <c r="L28" s="399"/>
      <c r="M28" s="400"/>
      <c r="N28" s="400"/>
      <c r="O28" s="400"/>
      <c r="P28" s="398"/>
    </row>
    <row r="29" spans="1:16" ht="22.5">
      <c r="A29" s="347">
        <f t="shared" si="0"/>
        <v>11</v>
      </c>
      <c r="B29" s="343" t="s">
        <v>336</v>
      </c>
      <c r="C29" s="404" t="s">
        <v>375</v>
      </c>
      <c r="D29" s="397" t="s">
        <v>376</v>
      </c>
      <c r="E29" s="395">
        <v>1</v>
      </c>
      <c r="F29" s="349"/>
      <c r="G29" s="344"/>
      <c r="H29" s="344"/>
      <c r="I29" s="344"/>
      <c r="J29" s="344"/>
      <c r="K29" s="398"/>
      <c r="L29" s="399"/>
      <c r="M29" s="400"/>
      <c r="N29" s="400"/>
      <c r="O29" s="400"/>
      <c r="P29" s="398"/>
    </row>
    <row r="30" spans="1:16" ht="33.75">
      <c r="A30" s="347">
        <f t="shared" si="0"/>
        <v>12</v>
      </c>
      <c r="B30" s="343" t="s">
        <v>336</v>
      </c>
      <c r="C30" s="404" t="s">
        <v>377</v>
      </c>
      <c r="D30" s="397" t="s">
        <v>376</v>
      </c>
      <c r="E30" s="395">
        <v>138</v>
      </c>
      <c r="F30" s="349"/>
      <c r="G30" s="344"/>
      <c r="H30" s="344"/>
      <c r="I30" s="344"/>
      <c r="J30" s="344"/>
      <c r="K30" s="398"/>
      <c r="L30" s="399"/>
      <c r="M30" s="400"/>
      <c r="N30" s="400"/>
      <c r="O30" s="400"/>
      <c r="P30" s="398"/>
    </row>
    <row r="31" spans="1:16" ht="22.5">
      <c r="A31" s="347">
        <f t="shared" si="0"/>
        <v>13</v>
      </c>
      <c r="B31" s="343" t="s">
        <v>336</v>
      </c>
      <c r="C31" s="404" t="s">
        <v>378</v>
      </c>
      <c r="D31" s="397" t="s">
        <v>1</v>
      </c>
      <c r="E31" s="395">
        <v>128</v>
      </c>
      <c r="F31" s="349"/>
      <c r="G31" s="344"/>
      <c r="H31" s="344"/>
      <c r="I31" s="344"/>
      <c r="J31" s="344"/>
      <c r="K31" s="398"/>
      <c r="L31" s="399"/>
      <c r="M31" s="400"/>
      <c r="N31" s="400"/>
      <c r="O31" s="400"/>
      <c r="P31" s="398"/>
    </row>
    <row r="32" spans="1:16" ht="22.5">
      <c r="A32" s="347">
        <f t="shared" si="0"/>
        <v>14</v>
      </c>
      <c r="B32" s="343" t="s">
        <v>336</v>
      </c>
      <c r="C32" s="406" t="s">
        <v>379</v>
      </c>
      <c r="D32" s="397" t="s">
        <v>1</v>
      </c>
      <c r="E32" s="395">
        <v>10</v>
      </c>
      <c r="F32" s="349"/>
      <c r="G32" s="344"/>
      <c r="H32" s="344"/>
      <c r="I32" s="344"/>
      <c r="J32" s="344"/>
      <c r="K32" s="398"/>
      <c r="L32" s="399"/>
      <c r="M32" s="400"/>
      <c r="N32" s="400"/>
      <c r="O32" s="400"/>
      <c r="P32" s="398"/>
    </row>
    <row r="33" spans="1:16" ht="33.75">
      <c r="A33" s="347">
        <f t="shared" si="0"/>
        <v>15</v>
      </c>
      <c r="B33" s="343" t="s">
        <v>336</v>
      </c>
      <c r="C33" s="404" t="s">
        <v>380</v>
      </c>
      <c r="D33" s="397" t="s">
        <v>1</v>
      </c>
      <c r="E33" s="395">
        <v>138</v>
      </c>
      <c r="F33" s="349"/>
      <c r="G33" s="344"/>
      <c r="H33" s="344"/>
      <c r="I33" s="344"/>
      <c r="J33" s="344"/>
      <c r="K33" s="398"/>
      <c r="L33" s="399"/>
      <c r="M33" s="400"/>
      <c r="N33" s="400"/>
      <c r="O33" s="400"/>
      <c r="P33" s="398"/>
    </row>
    <row r="34" spans="1:16" ht="33.75">
      <c r="A34" s="347">
        <f t="shared" si="0"/>
        <v>16</v>
      </c>
      <c r="B34" s="343" t="s">
        <v>336</v>
      </c>
      <c r="C34" s="404" t="s">
        <v>381</v>
      </c>
      <c r="D34" s="397" t="s">
        <v>1</v>
      </c>
      <c r="E34" s="395">
        <v>138</v>
      </c>
      <c r="F34" s="349"/>
      <c r="G34" s="344"/>
      <c r="H34" s="344"/>
      <c r="I34" s="344"/>
      <c r="J34" s="344"/>
      <c r="K34" s="398"/>
      <c r="L34" s="399"/>
      <c r="M34" s="400"/>
      <c r="N34" s="400"/>
      <c r="O34" s="400"/>
      <c r="P34" s="398"/>
    </row>
    <row r="35" spans="1:16" ht="11.25">
      <c r="A35" s="347">
        <f t="shared" si="0"/>
        <v>17</v>
      </c>
      <c r="B35" s="343" t="s">
        <v>336</v>
      </c>
      <c r="C35" s="406" t="s">
        <v>382</v>
      </c>
      <c r="D35" s="397" t="s">
        <v>1</v>
      </c>
      <c r="E35" s="395">
        <v>414</v>
      </c>
      <c r="F35" s="349"/>
      <c r="G35" s="344"/>
      <c r="H35" s="344"/>
      <c r="I35" s="344"/>
      <c r="J35" s="344"/>
      <c r="K35" s="398"/>
      <c r="L35" s="399"/>
      <c r="M35" s="400"/>
      <c r="N35" s="400"/>
      <c r="O35" s="400"/>
      <c r="P35" s="398"/>
    </row>
    <row r="36" spans="1:16" ht="22.5">
      <c r="A36" s="347">
        <f t="shared" si="0"/>
        <v>18</v>
      </c>
      <c r="B36" s="343" t="s">
        <v>336</v>
      </c>
      <c r="C36" s="407" t="s">
        <v>383</v>
      </c>
      <c r="D36" s="397" t="s">
        <v>1</v>
      </c>
      <c r="E36" s="395">
        <v>138</v>
      </c>
      <c r="F36" s="349"/>
      <c r="G36" s="344"/>
      <c r="H36" s="344"/>
      <c r="I36" s="344"/>
      <c r="J36" s="344"/>
      <c r="K36" s="398"/>
      <c r="L36" s="399"/>
      <c r="M36" s="400"/>
      <c r="N36" s="400"/>
      <c r="O36" s="400"/>
      <c r="P36" s="398"/>
    </row>
    <row r="37" spans="1:16" ht="11.25">
      <c r="A37" s="347">
        <f t="shared" si="0"/>
        <v>19</v>
      </c>
      <c r="B37" s="343" t="s">
        <v>336</v>
      </c>
      <c r="C37" s="404" t="s">
        <v>384</v>
      </c>
      <c r="D37" s="397" t="s">
        <v>1</v>
      </c>
      <c r="E37" s="395">
        <v>276</v>
      </c>
      <c r="F37" s="349"/>
      <c r="G37" s="344"/>
      <c r="H37" s="344"/>
      <c r="I37" s="344"/>
      <c r="J37" s="344"/>
      <c r="K37" s="398"/>
      <c r="L37" s="399"/>
      <c r="M37" s="400"/>
      <c r="N37" s="400"/>
      <c r="O37" s="400"/>
      <c r="P37" s="398"/>
    </row>
    <row r="38" spans="1:16" ht="11.25">
      <c r="A38" s="347">
        <f t="shared" si="0"/>
        <v>20</v>
      </c>
      <c r="B38" s="343" t="s">
        <v>336</v>
      </c>
      <c r="C38" s="404" t="s">
        <v>385</v>
      </c>
      <c r="D38" s="397" t="s">
        <v>1</v>
      </c>
      <c r="E38" s="395">
        <v>276</v>
      </c>
      <c r="F38" s="349"/>
      <c r="G38" s="344"/>
      <c r="H38" s="344"/>
      <c r="I38" s="344"/>
      <c r="J38" s="344"/>
      <c r="K38" s="398"/>
      <c r="L38" s="399"/>
      <c r="M38" s="400"/>
      <c r="N38" s="400"/>
      <c r="O38" s="400"/>
      <c r="P38" s="398"/>
    </row>
    <row r="39" spans="1:16" ht="11.25">
      <c r="A39" s="347">
        <f t="shared" si="0"/>
        <v>21</v>
      </c>
      <c r="B39" s="343" t="s">
        <v>336</v>
      </c>
      <c r="C39" s="404" t="s">
        <v>386</v>
      </c>
      <c r="D39" s="397" t="s">
        <v>1</v>
      </c>
      <c r="E39" s="395">
        <v>138</v>
      </c>
      <c r="F39" s="349"/>
      <c r="G39" s="344"/>
      <c r="H39" s="344"/>
      <c r="I39" s="344"/>
      <c r="J39" s="344"/>
      <c r="K39" s="398"/>
      <c r="L39" s="399"/>
      <c r="M39" s="400"/>
      <c r="N39" s="400"/>
      <c r="O39" s="400"/>
      <c r="P39" s="398"/>
    </row>
    <row r="40" spans="1:16" ht="11.25">
      <c r="A40" s="347">
        <f t="shared" si="0"/>
        <v>22</v>
      </c>
      <c r="B40" s="343" t="s">
        <v>336</v>
      </c>
      <c r="C40" s="404" t="s">
        <v>387</v>
      </c>
      <c r="D40" s="397" t="s">
        <v>1</v>
      </c>
      <c r="E40" s="395">
        <v>138</v>
      </c>
      <c r="F40" s="349"/>
      <c r="G40" s="344"/>
      <c r="H40" s="344"/>
      <c r="I40" s="344"/>
      <c r="J40" s="344"/>
      <c r="K40" s="398"/>
      <c r="L40" s="399"/>
      <c r="M40" s="400"/>
      <c r="N40" s="400"/>
      <c r="O40" s="400"/>
      <c r="P40" s="398"/>
    </row>
    <row r="41" spans="1:16" ht="22.5">
      <c r="A41" s="347">
        <f t="shared" si="0"/>
        <v>23</v>
      </c>
      <c r="B41" s="343" t="s">
        <v>336</v>
      </c>
      <c r="C41" s="404" t="s">
        <v>388</v>
      </c>
      <c r="D41" s="397" t="s">
        <v>376</v>
      </c>
      <c r="E41" s="395">
        <v>138</v>
      </c>
      <c r="F41" s="349"/>
      <c r="G41" s="344"/>
      <c r="H41" s="344"/>
      <c r="I41" s="344"/>
      <c r="J41" s="344"/>
      <c r="K41" s="398"/>
      <c r="L41" s="399"/>
      <c r="M41" s="400"/>
      <c r="N41" s="400"/>
      <c r="O41" s="400"/>
      <c r="P41" s="398"/>
    </row>
    <row r="42" spans="1:16" ht="22.5">
      <c r="A42" s="347">
        <f t="shared" si="0"/>
        <v>24</v>
      </c>
      <c r="B42" s="343" t="s">
        <v>336</v>
      </c>
      <c r="C42" s="401" t="s">
        <v>389</v>
      </c>
      <c r="D42" s="397" t="s">
        <v>101</v>
      </c>
      <c r="E42" s="395">
        <v>80</v>
      </c>
      <c r="F42" s="349"/>
      <c r="G42" s="344"/>
      <c r="H42" s="344"/>
      <c r="I42" s="344"/>
      <c r="J42" s="344"/>
      <c r="K42" s="398"/>
      <c r="L42" s="399"/>
      <c r="M42" s="400"/>
      <c r="N42" s="400"/>
      <c r="O42" s="400"/>
      <c r="P42" s="398"/>
    </row>
    <row r="43" spans="1:16" ht="22.5">
      <c r="A43" s="347">
        <f t="shared" si="0"/>
        <v>25</v>
      </c>
      <c r="B43" s="343" t="s">
        <v>336</v>
      </c>
      <c r="C43" s="401" t="s">
        <v>390</v>
      </c>
      <c r="D43" s="397" t="s">
        <v>101</v>
      </c>
      <c r="E43" s="395">
        <v>20</v>
      </c>
      <c r="F43" s="349"/>
      <c r="G43" s="344"/>
      <c r="H43" s="344"/>
      <c r="I43" s="344"/>
      <c r="J43" s="344"/>
      <c r="K43" s="398"/>
      <c r="L43" s="399"/>
      <c r="M43" s="400"/>
      <c r="N43" s="400"/>
      <c r="O43" s="400"/>
      <c r="P43" s="398"/>
    </row>
    <row r="44" spans="1:16" ht="22.5">
      <c r="A44" s="347">
        <f t="shared" si="0"/>
        <v>26</v>
      </c>
      <c r="B44" s="343" t="s">
        <v>336</v>
      </c>
      <c r="C44" s="401" t="s">
        <v>391</v>
      </c>
      <c r="D44" s="397" t="s">
        <v>1</v>
      </c>
      <c r="E44" s="395">
        <v>3</v>
      </c>
      <c r="F44" s="349"/>
      <c r="G44" s="344"/>
      <c r="H44" s="344"/>
      <c r="I44" s="344"/>
      <c r="J44" s="344"/>
      <c r="K44" s="398"/>
      <c r="L44" s="399"/>
      <c r="M44" s="400"/>
      <c r="N44" s="400"/>
      <c r="O44" s="400"/>
      <c r="P44" s="398"/>
    </row>
    <row r="45" spans="1:16" ht="22.5">
      <c r="A45" s="347">
        <f t="shared" si="0"/>
        <v>27</v>
      </c>
      <c r="B45" s="343" t="s">
        <v>336</v>
      </c>
      <c r="C45" s="401" t="s">
        <v>392</v>
      </c>
      <c r="D45" s="397" t="s">
        <v>1</v>
      </c>
      <c r="E45" s="395">
        <v>3</v>
      </c>
      <c r="F45" s="349"/>
      <c r="G45" s="344"/>
      <c r="H45" s="344"/>
      <c r="I45" s="344"/>
      <c r="J45" s="344"/>
      <c r="K45" s="398"/>
      <c r="L45" s="399"/>
      <c r="M45" s="400"/>
      <c r="N45" s="400"/>
      <c r="O45" s="400"/>
      <c r="P45" s="398"/>
    </row>
    <row r="46" spans="1:16" ht="11.25">
      <c r="A46" s="347"/>
      <c r="B46" s="343"/>
      <c r="C46" s="408" t="s">
        <v>393</v>
      </c>
      <c r="D46" s="397"/>
      <c r="E46" s="395"/>
      <c r="F46" s="349"/>
      <c r="G46" s="344"/>
      <c r="H46" s="344"/>
      <c r="I46" s="344"/>
      <c r="J46" s="344"/>
      <c r="K46" s="398"/>
      <c r="L46" s="399"/>
      <c r="M46" s="400"/>
      <c r="N46" s="400"/>
      <c r="O46" s="400"/>
      <c r="P46" s="398"/>
    </row>
    <row r="47" spans="1:16" ht="45">
      <c r="A47" s="347">
        <f t="shared" si="0"/>
        <v>1</v>
      </c>
      <c r="B47" s="343" t="s">
        <v>336</v>
      </c>
      <c r="C47" s="404" t="s">
        <v>394</v>
      </c>
      <c r="D47" s="409" t="s">
        <v>376</v>
      </c>
      <c r="E47" s="410">
        <v>1</v>
      </c>
      <c r="F47" s="349"/>
      <c r="G47" s="344"/>
      <c r="H47" s="344"/>
      <c r="I47" s="344"/>
      <c r="J47" s="344"/>
      <c r="K47" s="398"/>
      <c r="L47" s="399"/>
      <c r="M47" s="400"/>
      <c r="N47" s="400"/>
      <c r="O47" s="400"/>
      <c r="P47" s="398"/>
    </row>
    <row r="48" spans="1:16" ht="22.5">
      <c r="A48" s="347"/>
      <c r="B48" s="343"/>
      <c r="C48" s="411" t="s">
        <v>395</v>
      </c>
      <c r="D48" s="397"/>
      <c r="E48" s="395"/>
      <c r="F48" s="349"/>
      <c r="G48" s="344"/>
      <c r="H48" s="344"/>
      <c r="I48" s="344"/>
      <c r="J48" s="344"/>
      <c r="K48" s="398"/>
      <c r="L48" s="399"/>
      <c r="M48" s="400"/>
      <c r="N48" s="400"/>
      <c r="O48" s="400"/>
      <c r="P48" s="398"/>
    </row>
    <row r="49" spans="1:16" ht="33.75">
      <c r="A49" s="347">
        <f t="shared" si="0"/>
        <v>1</v>
      </c>
      <c r="B49" s="343" t="s">
        <v>336</v>
      </c>
      <c r="C49" s="404" t="s">
        <v>396</v>
      </c>
      <c r="D49" s="397" t="s">
        <v>370</v>
      </c>
      <c r="E49" s="395">
        <v>30</v>
      </c>
      <c r="F49" s="349"/>
      <c r="G49" s="344"/>
      <c r="H49" s="344"/>
      <c r="I49" s="344"/>
      <c r="J49" s="344"/>
      <c r="K49" s="398"/>
      <c r="L49" s="399"/>
      <c r="M49" s="400"/>
      <c r="N49" s="400"/>
      <c r="O49" s="400"/>
      <c r="P49" s="398"/>
    </row>
    <row r="50" spans="1:16" ht="22.5">
      <c r="A50" s="347">
        <f t="shared" si="0"/>
        <v>2</v>
      </c>
      <c r="B50" s="343" t="s">
        <v>336</v>
      </c>
      <c r="C50" s="404" t="s">
        <v>397</v>
      </c>
      <c r="D50" s="397" t="s">
        <v>370</v>
      </c>
      <c r="E50" s="395">
        <v>15</v>
      </c>
      <c r="F50" s="349"/>
      <c r="G50" s="344"/>
      <c r="H50" s="344"/>
      <c r="I50" s="344"/>
      <c r="J50" s="344"/>
      <c r="K50" s="398"/>
      <c r="L50" s="399"/>
      <c r="M50" s="400"/>
      <c r="N50" s="400"/>
      <c r="O50" s="400"/>
      <c r="P50" s="398"/>
    </row>
    <row r="51" spans="1:16" ht="45">
      <c r="A51" s="347">
        <f t="shared" si="0"/>
        <v>3</v>
      </c>
      <c r="B51" s="343" t="s">
        <v>336</v>
      </c>
      <c r="C51" s="404" t="s">
        <v>398</v>
      </c>
      <c r="D51" s="397" t="s">
        <v>370</v>
      </c>
      <c r="E51" s="395">
        <v>30</v>
      </c>
      <c r="F51" s="349"/>
      <c r="G51" s="344"/>
      <c r="H51" s="344"/>
      <c r="I51" s="344"/>
      <c r="J51" s="344"/>
      <c r="K51" s="398"/>
      <c r="L51" s="399"/>
      <c r="M51" s="400"/>
      <c r="N51" s="400"/>
      <c r="O51" s="400"/>
      <c r="P51" s="398"/>
    </row>
    <row r="52" spans="1:16" ht="45">
      <c r="A52" s="347">
        <f t="shared" si="0"/>
        <v>4</v>
      </c>
      <c r="B52" s="343" t="s">
        <v>336</v>
      </c>
      <c r="C52" s="404" t="s">
        <v>399</v>
      </c>
      <c r="D52" s="397" t="s">
        <v>370</v>
      </c>
      <c r="E52" s="395">
        <v>15</v>
      </c>
      <c r="F52" s="349"/>
      <c r="G52" s="344"/>
      <c r="H52" s="344"/>
      <c r="I52" s="344"/>
      <c r="J52" s="344"/>
      <c r="K52" s="398"/>
      <c r="L52" s="399"/>
      <c r="M52" s="400"/>
      <c r="N52" s="400"/>
      <c r="O52" s="400"/>
      <c r="P52" s="398"/>
    </row>
    <row r="53" spans="1:16" ht="11.25">
      <c r="A53" s="347">
        <f t="shared" si="0"/>
        <v>5</v>
      </c>
      <c r="B53" s="343" t="s">
        <v>336</v>
      </c>
      <c r="C53" s="404" t="s">
        <v>400</v>
      </c>
      <c r="D53" s="397" t="s">
        <v>370</v>
      </c>
      <c r="E53" s="395">
        <v>15</v>
      </c>
      <c r="F53" s="349"/>
      <c r="G53" s="344"/>
      <c r="H53" s="344"/>
      <c r="I53" s="344"/>
      <c r="J53" s="344"/>
      <c r="K53" s="398"/>
      <c r="L53" s="399"/>
      <c r="M53" s="400"/>
      <c r="N53" s="400"/>
      <c r="O53" s="400"/>
      <c r="P53" s="398"/>
    </row>
    <row r="54" spans="1:16" ht="22.5">
      <c r="A54" s="347">
        <f t="shared" si="0"/>
        <v>6</v>
      </c>
      <c r="B54" s="343" t="s">
        <v>336</v>
      </c>
      <c r="C54" s="404" t="s">
        <v>401</v>
      </c>
      <c r="D54" s="397" t="s">
        <v>1</v>
      </c>
      <c r="E54" s="395">
        <v>10</v>
      </c>
      <c r="F54" s="349"/>
      <c r="G54" s="344"/>
      <c r="H54" s="344"/>
      <c r="I54" s="344"/>
      <c r="J54" s="344"/>
      <c r="K54" s="398"/>
      <c r="L54" s="399"/>
      <c r="M54" s="400"/>
      <c r="N54" s="400"/>
      <c r="O54" s="400"/>
      <c r="P54" s="398"/>
    </row>
    <row r="55" spans="1:16" ht="11.25">
      <c r="A55" s="347"/>
      <c r="B55" s="343"/>
      <c r="C55" s="404" t="s">
        <v>402</v>
      </c>
      <c r="D55" s="397" t="s">
        <v>1</v>
      </c>
      <c r="E55" s="395">
        <v>15</v>
      </c>
      <c r="F55" s="349"/>
      <c r="G55" s="344"/>
      <c r="H55" s="344"/>
      <c r="I55" s="344"/>
      <c r="J55" s="344"/>
      <c r="K55" s="398"/>
      <c r="L55" s="399"/>
      <c r="M55" s="400"/>
      <c r="N55" s="400"/>
      <c r="O55" s="400"/>
      <c r="P55" s="398"/>
    </row>
    <row r="56" spans="1:16" ht="11.25">
      <c r="A56" s="347"/>
      <c r="B56" s="343"/>
      <c r="C56" s="411" t="s">
        <v>403</v>
      </c>
      <c r="D56" s="397"/>
      <c r="E56" s="395"/>
      <c r="F56" s="349"/>
      <c r="G56" s="344"/>
      <c r="H56" s="344"/>
      <c r="I56" s="344"/>
      <c r="J56" s="344"/>
      <c r="K56" s="398"/>
      <c r="L56" s="399"/>
      <c r="M56" s="400"/>
      <c r="N56" s="400"/>
      <c r="O56" s="400"/>
      <c r="P56" s="398"/>
    </row>
    <row r="57" spans="1:16" ht="22.5">
      <c r="A57" s="347">
        <f t="shared" si="0"/>
        <v>1</v>
      </c>
      <c r="B57" s="343" t="s">
        <v>336</v>
      </c>
      <c r="C57" s="404" t="s">
        <v>404</v>
      </c>
      <c r="D57" s="397" t="s">
        <v>101</v>
      </c>
      <c r="E57" s="395">
        <v>135</v>
      </c>
      <c r="F57" s="349"/>
      <c r="G57" s="344"/>
      <c r="H57" s="344"/>
      <c r="I57" s="344"/>
      <c r="J57" s="344"/>
      <c r="K57" s="398"/>
      <c r="L57" s="399"/>
      <c r="M57" s="400"/>
      <c r="N57" s="400"/>
      <c r="O57" s="400"/>
      <c r="P57" s="398"/>
    </row>
    <row r="58" spans="1:16" ht="22.5">
      <c r="A58" s="347">
        <f t="shared" si="0"/>
        <v>2</v>
      </c>
      <c r="B58" s="343" t="s">
        <v>336</v>
      </c>
      <c r="C58" s="404" t="s">
        <v>405</v>
      </c>
      <c r="D58" s="397" t="s">
        <v>101</v>
      </c>
      <c r="E58" s="395">
        <v>135</v>
      </c>
      <c r="F58" s="349"/>
      <c r="G58" s="344"/>
      <c r="H58" s="344"/>
      <c r="I58" s="344"/>
      <c r="J58" s="344"/>
      <c r="K58" s="398"/>
      <c r="L58" s="399"/>
      <c r="M58" s="400"/>
      <c r="N58" s="400"/>
      <c r="O58" s="400"/>
      <c r="P58" s="398"/>
    </row>
    <row r="59" spans="1:16" ht="11.25">
      <c r="A59" s="347">
        <f t="shared" si="0"/>
        <v>3</v>
      </c>
      <c r="B59" s="343" t="s">
        <v>336</v>
      </c>
      <c r="C59" s="396" t="s">
        <v>406</v>
      </c>
      <c r="D59" s="397" t="s">
        <v>101</v>
      </c>
      <c r="E59" s="395">
        <v>135</v>
      </c>
      <c r="F59" s="349"/>
      <c r="G59" s="344"/>
      <c r="H59" s="344"/>
      <c r="I59" s="344"/>
      <c r="J59" s="344"/>
      <c r="K59" s="398"/>
      <c r="L59" s="399"/>
      <c r="M59" s="400"/>
      <c r="N59" s="400"/>
      <c r="O59" s="400"/>
      <c r="P59" s="398"/>
    </row>
    <row r="60" spans="1:16" ht="12.75">
      <c r="A60" s="347">
        <f t="shared" si="0"/>
        <v>4</v>
      </c>
      <c r="B60" s="343" t="s">
        <v>336</v>
      </c>
      <c r="C60" s="404" t="s">
        <v>407</v>
      </c>
      <c r="D60" s="397" t="s">
        <v>1</v>
      </c>
      <c r="E60" s="395">
        <v>45</v>
      </c>
      <c r="F60" s="349"/>
      <c r="G60" s="344"/>
      <c r="H60" s="344"/>
      <c r="I60" s="344"/>
      <c r="J60" s="344"/>
      <c r="K60" s="398"/>
      <c r="L60" s="399"/>
      <c r="M60" s="400"/>
      <c r="N60" s="400"/>
      <c r="O60" s="400"/>
      <c r="P60" s="398"/>
    </row>
    <row r="61" spans="1:16" ht="12.75">
      <c r="A61" s="347">
        <f t="shared" si="0"/>
        <v>5</v>
      </c>
      <c r="B61" s="343" t="s">
        <v>336</v>
      </c>
      <c r="C61" s="404" t="s">
        <v>408</v>
      </c>
      <c r="D61" s="397" t="s">
        <v>1</v>
      </c>
      <c r="E61" s="395">
        <v>90</v>
      </c>
      <c r="F61" s="349"/>
      <c r="G61" s="344"/>
      <c r="H61" s="344"/>
      <c r="I61" s="344"/>
      <c r="J61" s="344"/>
      <c r="K61" s="398"/>
      <c r="L61" s="399"/>
      <c r="M61" s="400"/>
      <c r="N61" s="400"/>
      <c r="O61" s="400"/>
      <c r="P61" s="398"/>
    </row>
    <row r="62" spans="1:16" ht="11.25">
      <c r="A62" s="347">
        <f t="shared" si="0"/>
        <v>6</v>
      </c>
      <c r="B62" s="343" t="s">
        <v>336</v>
      </c>
      <c r="C62" s="404" t="s">
        <v>409</v>
      </c>
      <c r="D62" s="397" t="s">
        <v>1</v>
      </c>
      <c r="E62" s="395">
        <v>81</v>
      </c>
      <c r="F62" s="349"/>
      <c r="G62" s="344"/>
      <c r="H62" s="344"/>
      <c r="I62" s="344"/>
      <c r="J62" s="344"/>
      <c r="K62" s="398"/>
      <c r="L62" s="399"/>
      <c r="M62" s="400"/>
      <c r="N62" s="400"/>
      <c r="O62" s="400"/>
      <c r="P62" s="398"/>
    </row>
    <row r="63" spans="1:16" ht="11.25">
      <c r="A63" s="347">
        <f t="shared" si="0"/>
        <v>7</v>
      </c>
      <c r="B63" s="343" t="s">
        <v>336</v>
      </c>
      <c r="C63" s="404" t="s">
        <v>410</v>
      </c>
      <c r="D63" s="397" t="s">
        <v>1</v>
      </c>
      <c r="E63" s="395">
        <v>18</v>
      </c>
      <c r="F63" s="349"/>
      <c r="G63" s="344"/>
      <c r="H63" s="344"/>
      <c r="I63" s="344"/>
      <c r="J63" s="344"/>
      <c r="K63" s="398"/>
      <c r="L63" s="399"/>
      <c r="M63" s="400"/>
      <c r="N63" s="400"/>
      <c r="O63" s="400"/>
      <c r="P63" s="398"/>
    </row>
    <row r="64" spans="1:16" ht="11.25">
      <c r="A64" s="347">
        <f t="shared" si="0"/>
        <v>8</v>
      </c>
      <c r="B64" s="343" t="s">
        <v>336</v>
      </c>
      <c r="C64" s="404" t="s">
        <v>411</v>
      </c>
      <c r="D64" s="397" t="s">
        <v>1</v>
      </c>
      <c r="E64" s="395">
        <v>27</v>
      </c>
      <c r="F64" s="349"/>
      <c r="G64" s="344"/>
      <c r="H64" s="344"/>
      <c r="I64" s="344"/>
      <c r="J64" s="344"/>
      <c r="K64" s="398"/>
      <c r="L64" s="399"/>
      <c r="M64" s="400"/>
      <c r="N64" s="400"/>
      <c r="O64" s="400"/>
      <c r="P64" s="398"/>
    </row>
    <row r="65" spans="1:16" ht="11.25">
      <c r="A65" s="347">
        <f t="shared" si="0"/>
        <v>9</v>
      </c>
      <c r="B65" s="343" t="s">
        <v>336</v>
      </c>
      <c r="C65" s="404" t="s">
        <v>412</v>
      </c>
      <c r="D65" s="397" t="s">
        <v>1</v>
      </c>
      <c r="E65" s="395">
        <v>9</v>
      </c>
      <c r="F65" s="349"/>
      <c r="G65" s="344"/>
      <c r="H65" s="344"/>
      <c r="I65" s="344"/>
      <c r="J65" s="344"/>
      <c r="K65" s="398"/>
      <c r="L65" s="399"/>
      <c r="M65" s="400"/>
      <c r="N65" s="400"/>
      <c r="O65" s="400"/>
      <c r="P65" s="398"/>
    </row>
    <row r="66" spans="1:16" ht="22.5">
      <c r="A66" s="347">
        <f t="shared" si="0"/>
        <v>10</v>
      </c>
      <c r="B66" s="343" t="s">
        <v>336</v>
      </c>
      <c r="C66" s="404" t="s">
        <v>413</v>
      </c>
      <c r="D66" s="397" t="s">
        <v>376</v>
      </c>
      <c r="E66" s="395">
        <v>9</v>
      </c>
      <c r="F66" s="349"/>
      <c r="G66" s="344"/>
      <c r="H66" s="344"/>
      <c r="I66" s="344"/>
      <c r="J66" s="344"/>
      <c r="K66" s="398"/>
      <c r="L66" s="399"/>
      <c r="M66" s="400"/>
      <c r="N66" s="400"/>
      <c r="O66" s="400"/>
      <c r="P66" s="398"/>
    </row>
    <row r="67" spans="1:16" ht="11.25">
      <c r="A67" s="347">
        <f t="shared" si="0"/>
        <v>11</v>
      </c>
      <c r="B67" s="343" t="s">
        <v>336</v>
      </c>
      <c r="C67" s="404" t="s">
        <v>414</v>
      </c>
      <c r="D67" s="397" t="s">
        <v>376</v>
      </c>
      <c r="E67" s="395">
        <v>45</v>
      </c>
      <c r="F67" s="349"/>
      <c r="G67" s="344"/>
      <c r="H67" s="344"/>
      <c r="I67" s="344"/>
      <c r="J67" s="344"/>
      <c r="K67" s="398"/>
      <c r="L67" s="399"/>
      <c r="M67" s="400"/>
      <c r="N67" s="400"/>
      <c r="O67" s="400"/>
      <c r="P67" s="398"/>
    </row>
    <row r="68" spans="1:16" ht="11.25">
      <c r="A68" s="347">
        <f t="shared" si="0"/>
        <v>12</v>
      </c>
      <c r="B68" s="343" t="s">
        <v>336</v>
      </c>
      <c r="C68" s="404" t="s">
        <v>410</v>
      </c>
      <c r="D68" s="397" t="s">
        <v>1</v>
      </c>
      <c r="E68" s="395">
        <v>45</v>
      </c>
      <c r="F68" s="349"/>
      <c r="G68" s="344"/>
      <c r="H68" s="344"/>
      <c r="I68" s="344"/>
      <c r="J68" s="344"/>
      <c r="K68" s="398"/>
      <c r="L68" s="399"/>
      <c r="M68" s="400"/>
      <c r="N68" s="400"/>
      <c r="O68" s="400"/>
      <c r="P68" s="398"/>
    </row>
    <row r="69" spans="1:16" ht="11.25">
      <c r="A69" s="347">
        <f t="shared" si="0"/>
        <v>13</v>
      </c>
      <c r="B69" s="343" t="s">
        <v>336</v>
      </c>
      <c r="C69" s="404" t="s">
        <v>415</v>
      </c>
      <c r="D69" s="397" t="s">
        <v>1</v>
      </c>
      <c r="E69" s="395">
        <v>45</v>
      </c>
      <c r="F69" s="349"/>
      <c r="G69" s="344"/>
      <c r="H69" s="344"/>
      <c r="I69" s="344"/>
      <c r="J69" s="344"/>
      <c r="K69" s="398"/>
      <c r="L69" s="399"/>
      <c r="M69" s="400"/>
      <c r="N69" s="400"/>
      <c r="O69" s="400"/>
      <c r="P69" s="398"/>
    </row>
    <row r="70" spans="1:16" ht="11.25">
      <c r="A70" s="347">
        <f t="shared" si="0"/>
        <v>14</v>
      </c>
      <c r="B70" s="343" t="s">
        <v>336</v>
      </c>
      <c r="C70" s="404" t="s">
        <v>411</v>
      </c>
      <c r="D70" s="397" t="s">
        <v>1</v>
      </c>
      <c r="E70" s="395">
        <v>30</v>
      </c>
      <c r="F70" s="349"/>
      <c r="G70" s="344"/>
      <c r="H70" s="344"/>
      <c r="I70" s="344"/>
      <c r="J70" s="344"/>
      <c r="K70" s="398"/>
      <c r="L70" s="399"/>
      <c r="M70" s="400"/>
      <c r="N70" s="400"/>
      <c r="O70" s="400"/>
      <c r="P70" s="398"/>
    </row>
    <row r="71" spans="1:16" ht="11.25">
      <c r="A71" s="347">
        <f t="shared" si="0"/>
        <v>15</v>
      </c>
      <c r="B71" s="343" t="s">
        <v>336</v>
      </c>
      <c r="C71" s="404" t="s">
        <v>416</v>
      </c>
      <c r="D71" s="397" t="s">
        <v>376</v>
      </c>
      <c r="E71" s="395">
        <v>45</v>
      </c>
      <c r="F71" s="349"/>
      <c r="G71" s="344"/>
      <c r="H71" s="344"/>
      <c r="I71" s="344"/>
      <c r="J71" s="344"/>
      <c r="K71" s="398"/>
      <c r="L71" s="399"/>
      <c r="M71" s="400"/>
      <c r="N71" s="400"/>
      <c r="O71" s="400"/>
      <c r="P71" s="398"/>
    </row>
    <row r="72" spans="1:16" ht="11.25">
      <c r="A72" s="347">
        <f t="shared" si="0"/>
        <v>16</v>
      </c>
      <c r="B72" s="343" t="s">
        <v>336</v>
      </c>
      <c r="C72" s="404" t="s">
        <v>400</v>
      </c>
      <c r="D72" s="397" t="s">
        <v>370</v>
      </c>
      <c r="E72" s="395">
        <v>15</v>
      </c>
      <c r="F72" s="349"/>
      <c r="G72" s="344"/>
      <c r="H72" s="344"/>
      <c r="I72" s="344"/>
      <c r="J72" s="344"/>
      <c r="K72" s="398"/>
      <c r="L72" s="399"/>
      <c r="M72" s="400"/>
      <c r="N72" s="400"/>
      <c r="O72" s="400"/>
      <c r="P72" s="398"/>
    </row>
    <row r="73" spans="1:16" ht="22.5">
      <c r="A73" s="347">
        <f t="shared" si="0"/>
        <v>17</v>
      </c>
      <c r="B73" s="343" t="s">
        <v>336</v>
      </c>
      <c r="C73" s="404" t="s">
        <v>401</v>
      </c>
      <c r="D73" s="397" t="s">
        <v>1</v>
      </c>
      <c r="E73" s="395">
        <v>10</v>
      </c>
      <c r="F73" s="349"/>
      <c r="G73" s="344"/>
      <c r="H73" s="344"/>
      <c r="I73" s="344"/>
      <c r="J73" s="344"/>
      <c r="K73" s="398"/>
      <c r="L73" s="399"/>
      <c r="M73" s="400"/>
      <c r="N73" s="400"/>
      <c r="O73" s="400"/>
      <c r="P73" s="398"/>
    </row>
    <row r="74" spans="1:16" ht="11.25">
      <c r="A74" s="347">
        <f t="shared" si="0"/>
        <v>18</v>
      </c>
      <c r="B74" s="343" t="s">
        <v>336</v>
      </c>
      <c r="C74" s="404" t="s">
        <v>402</v>
      </c>
      <c r="D74" s="397" t="s">
        <v>1</v>
      </c>
      <c r="E74" s="395">
        <v>15</v>
      </c>
      <c r="F74" s="349"/>
      <c r="G74" s="344"/>
      <c r="H74" s="344"/>
      <c r="I74" s="344"/>
      <c r="J74" s="344"/>
      <c r="K74" s="398"/>
      <c r="L74" s="399"/>
      <c r="M74" s="400"/>
      <c r="N74" s="400"/>
      <c r="O74" s="400"/>
      <c r="P74" s="398"/>
    </row>
    <row r="75" spans="1:16" ht="11.25">
      <c r="A75" s="347"/>
      <c r="B75" s="343"/>
      <c r="C75" s="411" t="s">
        <v>417</v>
      </c>
      <c r="D75" s="397"/>
      <c r="E75" s="395"/>
      <c r="F75" s="349"/>
      <c r="G75" s="344"/>
      <c r="H75" s="344"/>
      <c r="I75" s="344"/>
      <c r="J75" s="344"/>
      <c r="K75" s="398"/>
      <c r="L75" s="399"/>
      <c r="M75" s="400"/>
      <c r="N75" s="400"/>
      <c r="O75" s="400"/>
      <c r="P75" s="398"/>
    </row>
    <row r="76" spans="1:16" ht="22.5">
      <c r="A76" s="347">
        <f t="shared" si="0"/>
        <v>1</v>
      </c>
      <c r="B76" s="343" t="s">
        <v>336</v>
      </c>
      <c r="C76" s="404" t="s">
        <v>418</v>
      </c>
      <c r="D76" s="397" t="s">
        <v>101</v>
      </c>
      <c r="E76" s="395">
        <v>140</v>
      </c>
      <c r="F76" s="349"/>
      <c r="G76" s="344"/>
      <c r="H76" s="344"/>
      <c r="I76" s="344"/>
      <c r="J76" s="344"/>
      <c r="K76" s="398"/>
      <c r="L76" s="399"/>
      <c r="M76" s="400"/>
      <c r="N76" s="400"/>
      <c r="O76" s="400"/>
      <c r="P76" s="398"/>
    </row>
    <row r="77" spans="1:16" ht="11.25">
      <c r="A77" s="347">
        <f t="shared" si="0"/>
        <v>2</v>
      </c>
      <c r="B77" s="343" t="s">
        <v>336</v>
      </c>
      <c r="C77" s="404" t="s">
        <v>419</v>
      </c>
      <c r="D77" s="397" t="s">
        <v>101</v>
      </c>
      <c r="E77" s="395">
        <v>140</v>
      </c>
      <c r="F77" s="349"/>
      <c r="G77" s="344"/>
      <c r="H77" s="344"/>
      <c r="I77" s="344"/>
      <c r="J77" s="344"/>
      <c r="K77" s="398"/>
      <c r="L77" s="399"/>
      <c r="M77" s="400"/>
      <c r="N77" s="400"/>
      <c r="O77" s="400"/>
      <c r="P77" s="398"/>
    </row>
    <row r="78" spans="1:16" ht="11.25">
      <c r="A78" s="347">
        <f t="shared" si="0"/>
        <v>3</v>
      </c>
      <c r="B78" s="343" t="s">
        <v>336</v>
      </c>
      <c r="C78" s="404" t="s">
        <v>420</v>
      </c>
      <c r="D78" s="397" t="s">
        <v>101</v>
      </c>
      <c r="E78" s="395">
        <v>140</v>
      </c>
      <c r="F78" s="349"/>
      <c r="G78" s="344"/>
      <c r="H78" s="344"/>
      <c r="I78" s="344"/>
      <c r="J78" s="344"/>
      <c r="K78" s="398"/>
      <c r="L78" s="399"/>
      <c r="M78" s="400"/>
      <c r="N78" s="400"/>
      <c r="O78" s="400"/>
      <c r="P78" s="398"/>
    </row>
    <row r="79" spans="1:16" ht="22.5">
      <c r="A79" s="347">
        <f t="shared" si="0"/>
        <v>4</v>
      </c>
      <c r="B79" s="343" t="s">
        <v>336</v>
      </c>
      <c r="C79" s="396" t="s">
        <v>421</v>
      </c>
      <c r="D79" s="397" t="s">
        <v>1</v>
      </c>
      <c r="E79" s="395">
        <v>45</v>
      </c>
      <c r="F79" s="349"/>
      <c r="G79" s="344"/>
      <c r="H79" s="344"/>
      <c r="I79" s="344"/>
      <c r="J79" s="344"/>
      <c r="K79" s="398"/>
      <c r="L79" s="399"/>
      <c r="M79" s="400"/>
      <c r="N79" s="400"/>
      <c r="O79" s="400"/>
      <c r="P79" s="398"/>
    </row>
    <row r="80" spans="1:16" ht="11.25">
      <c r="A80" s="347">
        <f t="shared" si="0"/>
        <v>5</v>
      </c>
      <c r="B80" s="343" t="s">
        <v>336</v>
      </c>
      <c r="C80" s="396" t="s">
        <v>422</v>
      </c>
      <c r="D80" s="397" t="s">
        <v>1</v>
      </c>
      <c r="E80" s="395">
        <v>40</v>
      </c>
      <c r="F80" s="349"/>
      <c r="G80" s="344"/>
      <c r="H80" s="344"/>
      <c r="I80" s="344"/>
      <c r="J80" s="344"/>
      <c r="K80" s="398"/>
      <c r="L80" s="399"/>
      <c r="M80" s="400"/>
      <c r="N80" s="400"/>
      <c r="O80" s="400"/>
      <c r="P80" s="398"/>
    </row>
    <row r="81" spans="1:16" ht="11.25">
      <c r="A81" s="347">
        <f t="shared" si="0"/>
        <v>6</v>
      </c>
      <c r="B81" s="343" t="s">
        <v>336</v>
      </c>
      <c r="C81" s="396" t="s">
        <v>423</v>
      </c>
      <c r="D81" s="397" t="s">
        <v>1</v>
      </c>
      <c r="E81" s="395">
        <v>45</v>
      </c>
      <c r="F81" s="349"/>
      <c r="G81" s="344"/>
      <c r="H81" s="344"/>
      <c r="I81" s="344"/>
      <c r="J81" s="344"/>
      <c r="K81" s="398"/>
      <c r="L81" s="399"/>
      <c r="M81" s="400"/>
      <c r="N81" s="400"/>
      <c r="O81" s="400"/>
      <c r="P81" s="398"/>
    </row>
    <row r="82" spans="1:16" ht="22.5">
      <c r="A82" s="347">
        <f t="shared" si="0"/>
        <v>7</v>
      </c>
      <c r="B82" s="343" t="s">
        <v>336</v>
      </c>
      <c r="C82" s="396" t="s">
        <v>424</v>
      </c>
      <c r="D82" s="397" t="s">
        <v>101</v>
      </c>
      <c r="E82" s="395">
        <v>45</v>
      </c>
      <c r="F82" s="349"/>
      <c r="G82" s="344"/>
      <c r="H82" s="344"/>
      <c r="I82" s="344"/>
      <c r="J82" s="344"/>
      <c r="K82" s="398"/>
      <c r="L82" s="399"/>
      <c r="M82" s="400"/>
      <c r="N82" s="400"/>
      <c r="O82" s="400"/>
      <c r="P82" s="398"/>
    </row>
    <row r="83" spans="1:16" ht="11.25">
      <c r="A83" s="347">
        <f aca="true" t="shared" si="1" ref="A83:A146">A82+1</f>
        <v>8</v>
      </c>
      <c r="B83" s="343" t="s">
        <v>336</v>
      </c>
      <c r="C83" s="396" t="s">
        <v>425</v>
      </c>
      <c r="D83" s="397" t="s">
        <v>1</v>
      </c>
      <c r="E83" s="395">
        <v>36</v>
      </c>
      <c r="F83" s="349"/>
      <c r="G83" s="344"/>
      <c r="H83" s="344"/>
      <c r="I83" s="344"/>
      <c r="J83" s="344"/>
      <c r="K83" s="398"/>
      <c r="L83" s="399"/>
      <c r="M83" s="400"/>
      <c r="N83" s="400"/>
      <c r="O83" s="400"/>
      <c r="P83" s="398"/>
    </row>
    <row r="84" spans="1:16" ht="11.25">
      <c r="A84" s="347">
        <f t="shared" si="1"/>
        <v>9</v>
      </c>
      <c r="B84" s="343" t="s">
        <v>336</v>
      </c>
      <c r="C84" s="404" t="s">
        <v>426</v>
      </c>
      <c r="D84" s="397" t="s">
        <v>1</v>
      </c>
      <c r="E84" s="395">
        <v>350</v>
      </c>
      <c r="F84" s="349"/>
      <c r="G84" s="344"/>
      <c r="H84" s="344"/>
      <c r="I84" s="344"/>
      <c r="J84" s="344"/>
      <c r="K84" s="398"/>
      <c r="L84" s="399"/>
      <c r="M84" s="400"/>
      <c r="N84" s="400"/>
      <c r="O84" s="400"/>
      <c r="P84" s="398"/>
    </row>
    <row r="85" spans="1:16" ht="22.5">
      <c r="A85" s="347">
        <f t="shared" si="1"/>
        <v>10</v>
      </c>
      <c r="B85" s="343" t="s">
        <v>336</v>
      </c>
      <c r="C85" s="404" t="s">
        <v>427</v>
      </c>
      <c r="D85" s="397" t="s">
        <v>370</v>
      </c>
      <c r="E85" s="395">
        <v>45</v>
      </c>
      <c r="F85" s="349"/>
      <c r="G85" s="344"/>
      <c r="H85" s="344"/>
      <c r="I85" s="344"/>
      <c r="J85" s="344"/>
      <c r="K85" s="398"/>
      <c r="L85" s="399"/>
      <c r="M85" s="400"/>
      <c r="N85" s="400"/>
      <c r="O85" s="400"/>
      <c r="P85" s="398"/>
    </row>
    <row r="86" spans="1:16" ht="22.5">
      <c r="A86" s="347">
        <f t="shared" si="1"/>
        <v>11</v>
      </c>
      <c r="B86" s="343" t="s">
        <v>336</v>
      </c>
      <c r="C86" s="396" t="s">
        <v>428</v>
      </c>
      <c r="D86" s="397" t="s">
        <v>1</v>
      </c>
      <c r="E86" s="395">
        <v>45</v>
      </c>
      <c r="F86" s="349"/>
      <c r="G86" s="344"/>
      <c r="H86" s="344"/>
      <c r="I86" s="344"/>
      <c r="J86" s="344"/>
      <c r="K86" s="398"/>
      <c r="L86" s="399"/>
      <c r="M86" s="400"/>
      <c r="N86" s="400"/>
      <c r="O86" s="400"/>
      <c r="P86" s="398"/>
    </row>
    <row r="87" spans="1:16" ht="11.25">
      <c r="A87" s="347">
        <f t="shared" si="1"/>
        <v>12</v>
      </c>
      <c r="B87" s="343" t="s">
        <v>336</v>
      </c>
      <c r="C87" s="404" t="s">
        <v>429</v>
      </c>
      <c r="D87" s="397" t="s">
        <v>1</v>
      </c>
      <c r="E87" s="395">
        <v>45</v>
      </c>
      <c r="F87" s="349"/>
      <c r="G87" s="344"/>
      <c r="H87" s="344"/>
      <c r="I87" s="344"/>
      <c r="J87" s="344"/>
      <c r="K87" s="398"/>
      <c r="L87" s="399"/>
      <c r="M87" s="400"/>
      <c r="N87" s="400"/>
      <c r="O87" s="400"/>
      <c r="P87" s="398"/>
    </row>
    <row r="88" spans="1:16" ht="11.25">
      <c r="A88" s="347">
        <f t="shared" si="1"/>
        <v>13</v>
      </c>
      <c r="B88" s="343" t="s">
        <v>336</v>
      </c>
      <c r="C88" s="404" t="s">
        <v>430</v>
      </c>
      <c r="D88" s="397" t="s">
        <v>376</v>
      </c>
      <c r="E88" s="395">
        <v>45</v>
      </c>
      <c r="F88" s="349"/>
      <c r="G88" s="344"/>
      <c r="H88" s="344"/>
      <c r="I88" s="344"/>
      <c r="J88" s="344"/>
      <c r="K88" s="398"/>
      <c r="L88" s="399"/>
      <c r="M88" s="400"/>
      <c r="N88" s="400"/>
      <c r="O88" s="400"/>
      <c r="P88" s="398"/>
    </row>
    <row r="89" spans="1:16" ht="11.25">
      <c r="A89" s="347">
        <f t="shared" si="1"/>
        <v>14</v>
      </c>
      <c r="B89" s="343" t="s">
        <v>336</v>
      </c>
      <c r="C89" s="404" t="s">
        <v>431</v>
      </c>
      <c r="D89" s="397" t="s">
        <v>1</v>
      </c>
      <c r="E89" s="395">
        <v>9</v>
      </c>
      <c r="F89" s="349"/>
      <c r="G89" s="344"/>
      <c r="H89" s="344"/>
      <c r="I89" s="344"/>
      <c r="J89" s="344"/>
      <c r="K89" s="398"/>
      <c r="L89" s="399"/>
      <c r="M89" s="400"/>
      <c r="N89" s="400"/>
      <c r="O89" s="400"/>
      <c r="P89" s="398"/>
    </row>
    <row r="90" spans="1:16" ht="11.25">
      <c r="A90" s="347">
        <f t="shared" si="1"/>
        <v>15</v>
      </c>
      <c r="B90" s="343" t="s">
        <v>336</v>
      </c>
      <c r="C90" s="396" t="s">
        <v>432</v>
      </c>
      <c r="D90" s="397" t="s">
        <v>1</v>
      </c>
      <c r="E90" s="395">
        <v>9</v>
      </c>
      <c r="F90" s="349"/>
      <c r="G90" s="344"/>
      <c r="H90" s="344"/>
      <c r="I90" s="344"/>
      <c r="J90" s="344"/>
      <c r="K90" s="398"/>
      <c r="L90" s="399"/>
      <c r="M90" s="400"/>
      <c r="N90" s="400"/>
      <c r="O90" s="400"/>
      <c r="P90" s="398"/>
    </row>
    <row r="91" spans="1:16" ht="11.25">
      <c r="A91" s="347">
        <f t="shared" si="1"/>
        <v>16</v>
      </c>
      <c r="B91" s="343" t="s">
        <v>336</v>
      </c>
      <c r="C91" s="396" t="s">
        <v>433</v>
      </c>
      <c r="D91" s="397" t="s">
        <v>1</v>
      </c>
      <c r="E91" s="395">
        <v>9</v>
      </c>
      <c r="F91" s="349"/>
      <c r="G91" s="344"/>
      <c r="H91" s="344"/>
      <c r="I91" s="344"/>
      <c r="J91" s="344"/>
      <c r="K91" s="398"/>
      <c r="L91" s="399"/>
      <c r="M91" s="400"/>
      <c r="N91" s="400"/>
      <c r="O91" s="400"/>
      <c r="P91" s="398"/>
    </row>
    <row r="92" spans="1:16" ht="22.5">
      <c r="A92" s="347">
        <f t="shared" si="1"/>
        <v>17</v>
      </c>
      <c r="B92" s="343" t="s">
        <v>336</v>
      </c>
      <c r="C92" s="396" t="s">
        <v>421</v>
      </c>
      <c r="D92" s="397" t="s">
        <v>1</v>
      </c>
      <c r="E92" s="395">
        <v>9</v>
      </c>
      <c r="F92" s="349"/>
      <c r="G92" s="344"/>
      <c r="H92" s="344"/>
      <c r="I92" s="344"/>
      <c r="J92" s="344"/>
      <c r="K92" s="398"/>
      <c r="L92" s="399"/>
      <c r="M92" s="400"/>
      <c r="N92" s="400"/>
      <c r="O92" s="400"/>
      <c r="P92" s="398"/>
    </row>
    <row r="93" spans="1:16" ht="11.25">
      <c r="A93" s="347">
        <f t="shared" si="1"/>
        <v>18</v>
      </c>
      <c r="B93" s="343" t="s">
        <v>336</v>
      </c>
      <c r="C93" s="396" t="s">
        <v>423</v>
      </c>
      <c r="D93" s="397" t="s">
        <v>1</v>
      </c>
      <c r="E93" s="395">
        <v>9</v>
      </c>
      <c r="F93" s="349"/>
      <c r="G93" s="344"/>
      <c r="H93" s="344"/>
      <c r="I93" s="344"/>
      <c r="J93" s="344"/>
      <c r="K93" s="398"/>
      <c r="L93" s="399"/>
      <c r="M93" s="400"/>
      <c r="N93" s="400"/>
      <c r="O93" s="400"/>
      <c r="P93" s="398"/>
    </row>
    <row r="94" spans="1:16" ht="22.5">
      <c r="A94" s="347">
        <f t="shared" si="1"/>
        <v>19</v>
      </c>
      <c r="B94" s="343" t="s">
        <v>336</v>
      </c>
      <c r="C94" s="396" t="s">
        <v>424</v>
      </c>
      <c r="D94" s="397" t="s">
        <v>101</v>
      </c>
      <c r="E94" s="395">
        <v>2</v>
      </c>
      <c r="F94" s="349"/>
      <c r="G94" s="344"/>
      <c r="H94" s="344"/>
      <c r="I94" s="344"/>
      <c r="J94" s="344"/>
      <c r="K94" s="398"/>
      <c r="L94" s="399"/>
      <c r="M94" s="400"/>
      <c r="N94" s="400"/>
      <c r="O94" s="400"/>
      <c r="P94" s="398"/>
    </row>
    <row r="95" spans="1:16" ht="22.5">
      <c r="A95" s="347">
        <f t="shared" si="1"/>
        <v>20</v>
      </c>
      <c r="B95" s="343" t="s">
        <v>336</v>
      </c>
      <c r="C95" s="404" t="s">
        <v>434</v>
      </c>
      <c r="D95" s="397" t="s">
        <v>101</v>
      </c>
      <c r="E95" s="395">
        <v>140</v>
      </c>
      <c r="F95" s="349"/>
      <c r="G95" s="344"/>
      <c r="H95" s="344"/>
      <c r="I95" s="344"/>
      <c r="J95" s="344"/>
      <c r="K95" s="398"/>
      <c r="L95" s="399"/>
      <c r="M95" s="400"/>
      <c r="N95" s="400"/>
      <c r="O95" s="400"/>
      <c r="P95" s="398"/>
    </row>
    <row r="96" spans="1:16" ht="22.5">
      <c r="A96" s="347">
        <f t="shared" si="1"/>
        <v>21</v>
      </c>
      <c r="B96" s="343" t="s">
        <v>336</v>
      </c>
      <c r="C96" s="396" t="s">
        <v>435</v>
      </c>
      <c r="D96" s="397" t="s">
        <v>101</v>
      </c>
      <c r="E96" s="395">
        <v>140</v>
      </c>
      <c r="F96" s="349"/>
      <c r="G96" s="344"/>
      <c r="H96" s="344"/>
      <c r="I96" s="344"/>
      <c r="J96" s="344"/>
      <c r="K96" s="398"/>
      <c r="L96" s="399"/>
      <c r="M96" s="400"/>
      <c r="N96" s="400"/>
      <c r="O96" s="400"/>
      <c r="P96" s="398"/>
    </row>
    <row r="97" spans="1:16" ht="11.25">
      <c r="A97" s="347">
        <f t="shared" si="1"/>
        <v>22</v>
      </c>
      <c r="B97" s="343" t="s">
        <v>336</v>
      </c>
      <c r="C97" s="396" t="s">
        <v>436</v>
      </c>
      <c r="D97" s="397" t="s">
        <v>1</v>
      </c>
      <c r="E97" s="395">
        <v>4</v>
      </c>
      <c r="F97" s="349"/>
      <c r="G97" s="344"/>
      <c r="H97" s="344"/>
      <c r="I97" s="344"/>
      <c r="J97" s="344"/>
      <c r="K97" s="398"/>
      <c r="L97" s="399"/>
      <c r="M97" s="400"/>
      <c r="N97" s="400"/>
      <c r="O97" s="400"/>
      <c r="P97" s="398"/>
    </row>
    <row r="98" spans="1:16" ht="11.25">
      <c r="A98" s="347"/>
      <c r="B98" s="343"/>
      <c r="C98" s="408" t="s">
        <v>437</v>
      </c>
      <c r="D98" s="397"/>
      <c r="E98" s="395"/>
      <c r="F98" s="349"/>
      <c r="G98" s="344"/>
      <c r="H98" s="344"/>
      <c r="I98" s="344"/>
      <c r="J98" s="344"/>
      <c r="K98" s="398"/>
      <c r="L98" s="399"/>
      <c r="M98" s="400"/>
      <c r="N98" s="400"/>
      <c r="O98" s="400"/>
      <c r="P98" s="398"/>
    </row>
    <row r="99" spans="1:16" ht="22.5">
      <c r="A99" s="347">
        <f t="shared" si="1"/>
        <v>1</v>
      </c>
      <c r="B99" s="343" t="s">
        <v>336</v>
      </c>
      <c r="C99" s="404" t="s">
        <v>418</v>
      </c>
      <c r="D99" s="397" t="s">
        <v>101</v>
      </c>
      <c r="E99" s="395">
        <v>140</v>
      </c>
      <c r="F99" s="349"/>
      <c r="G99" s="344"/>
      <c r="H99" s="344"/>
      <c r="I99" s="344"/>
      <c r="J99" s="344"/>
      <c r="K99" s="398"/>
      <c r="L99" s="399"/>
      <c r="M99" s="400"/>
      <c r="N99" s="400"/>
      <c r="O99" s="400"/>
      <c r="P99" s="398"/>
    </row>
    <row r="100" spans="1:16" ht="11.25">
      <c r="A100" s="347">
        <f t="shared" si="1"/>
        <v>2</v>
      </c>
      <c r="B100" s="343" t="s">
        <v>336</v>
      </c>
      <c r="C100" s="404" t="s">
        <v>419</v>
      </c>
      <c r="D100" s="397" t="s">
        <v>101</v>
      </c>
      <c r="E100" s="395">
        <v>140</v>
      </c>
      <c r="F100" s="349"/>
      <c r="G100" s="344"/>
      <c r="H100" s="344"/>
      <c r="I100" s="344"/>
      <c r="J100" s="344"/>
      <c r="K100" s="398"/>
      <c r="L100" s="399"/>
      <c r="M100" s="400"/>
      <c r="N100" s="400"/>
      <c r="O100" s="400"/>
      <c r="P100" s="398"/>
    </row>
    <row r="101" spans="1:16" ht="11.25">
      <c r="A101" s="347">
        <f t="shared" si="1"/>
        <v>3</v>
      </c>
      <c r="B101" s="343" t="s">
        <v>336</v>
      </c>
      <c r="C101" s="404" t="s">
        <v>420</v>
      </c>
      <c r="D101" s="397" t="s">
        <v>101</v>
      </c>
      <c r="E101" s="395">
        <v>140</v>
      </c>
      <c r="F101" s="349"/>
      <c r="G101" s="344"/>
      <c r="H101" s="344"/>
      <c r="I101" s="344"/>
      <c r="J101" s="344"/>
      <c r="K101" s="398"/>
      <c r="L101" s="399"/>
      <c r="M101" s="400"/>
      <c r="N101" s="400"/>
      <c r="O101" s="400"/>
      <c r="P101" s="398"/>
    </row>
    <row r="102" spans="1:16" ht="22.5">
      <c r="A102" s="347">
        <f t="shared" si="1"/>
        <v>4</v>
      </c>
      <c r="B102" s="343" t="s">
        <v>336</v>
      </c>
      <c r="C102" s="396" t="s">
        <v>421</v>
      </c>
      <c r="D102" s="397" t="s">
        <v>1</v>
      </c>
      <c r="E102" s="395">
        <v>45</v>
      </c>
      <c r="F102" s="349"/>
      <c r="G102" s="344"/>
      <c r="H102" s="344"/>
      <c r="I102" s="344"/>
      <c r="J102" s="344"/>
      <c r="K102" s="398"/>
      <c r="L102" s="399"/>
      <c r="M102" s="400"/>
      <c r="N102" s="400"/>
      <c r="O102" s="400"/>
      <c r="P102" s="398"/>
    </row>
    <row r="103" spans="1:16" ht="11.25">
      <c r="A103" s="347">
        <f t="shared" si="1"/>
        <v>5</v>
      </c>
      <c r="B103" s="343" t="s">
        <v>336</v>
      </c>
      <c r="C103" s="396" t="s">
        <v>422</v>
      </c>
      <c r="D103" s="397" t="s">
        <v>1</v>
      </c>
      <c r="E103" s="395">
        <v>40</v>
      </c>
      <c r="F103" s="349"/>
      <c r="G103" s="344"/>
      <c r="H103" s="344"/>
      <c r="I103" s="344"/>
      <c r="J103" s="344"/>
      <c r="K103" s="398"/>
      <c r="L103" s="399"/>
      <c r="M103" s="400"/>
      <c r="N103" s="400"/>
      <c r="O103" s="400"/>
      <c r="P103" s="398"/>
    </row>
    <row r="104" spans="1:16" ht="11.25">
      <c r="A104" s="347">
        <f t="shared" si="1"/>
        <v>6</v>
      </c>
      <c r="B104" s="343" t="s">
        <v>336</v>
      </c>
      <c r="C104" s="396" t="s">
        <v>423</v>
      </c>
      <c r="D104" s="397" t="s">
        <v>1</v>
      </c>
      <c r="E104" s="395">
        <v>45</v>
      </c>
      <c r="F104" s="349"/>
      <c r="G104" s="344"/>
      <c r="H104" s="344"/>
      <c r="I104" s="344"/>
      <c r="J104" s="344"/>
      <c r="K104" s="398"/>
      <c r="L104" s="399"/>
      <c r="M104" s="400"/>
      <c r="N104" s="400"/>
      <c r="O104" s="400"/>
      <c r="P104" s="398"/>
    </row>
    <row r="105" spans="1:16" ht="22.5">
      <c r="A105" s="347">
        <f t="shared" si="1"/>
        <v>7</v>
      </c>
      <c r="B105" s="343" t="s">
        <v>336</v>
      </c>
      <c r="C105" s="396" t="s">
        <v>424</v>
      </c>
      <c r="D105" s="397" t="s">
        <v>101</v>
      </c>
      <c r="E105" s="395">
        <v>45</v>
      </c>
      <c r="F105" s="349"/>
      <c r="G105" s="344"/>
      <c r="H105" s="344"/>
      <c r="I105" s="344"/>
      <c r="J105" s="344"/>
      <c r="K105" s="398"/>
      <c r="L105" s="399"/>
      <c r="M105" s="400"/>
      <c r="N105" s="400"/>
      <c r="O105" s="400"/>
      <c r="P105" s="398"/>
    </row>
    <row r="106" spans="1:16" ht="11.25">
      <c r="A106" s="347">
        <f t="shared" si="1"/>
        <v>8</v>
      </c>
      <c r="B106" s="343" t="s">
        <v>336</v>
      </c>
      <c r="C106" s="396" t="s">
        <v>425</v>
      </c>
      <c r="D106" s="397" t="s">
        <v>1</v>
      </c>
      <c r="E106" s="395">
        <v>36</v>
      </c>
      <c r="F106" s="349"/>
      <c r="G106" s="344"/>
      <c r="H106" s="344"/>
      <c r="I106" s="344"/>
      <c r="J106" s="344"/>
      <c r="K106" s="398"/>
      <c r="L106" s="399"/>
      <c r="M106" s="400"/>
      <c r="N106" s="400"/>
      <c r="O106" s="400"/>
      <c r="P106" s="398"/>
    </row>
    <row r="107" spans="1:16" ht="11.25">
      <c r="A107" s="347">
        <f t="shared" si="1"/>
        <v>9</v>
      </c>
      <c r="B107" s="343" t="s">
        <v>336</v>
      </c>
      <c r="C107" s="404" t="s">
        <v>426</v>
      </c>
      <c r="D107" s="397" t="s">
        <v>1</v>
      </c>
      <c r="E107" s="395">
        <v>350</v>
      </c>
      <c r="F107" s="349"/>
      <c r="G107" s="344"/>
      <c r="H107" s="344"/>
      <c r="I107" s="344"/>
      <c r="J107" s="344"/>
      <c r="K107" s="398"/>
      <c r="L107" s="399"/>
      <c r="M107" s="400"/>
      <c r="N107" s="400"/>
      <c r="O107" s="400"/>
      <c r="P107" s="398"/>
    </row>
    <row r="108" spans="1:16" ht="22.5">
      <c r="A108" s="347">
        <f t="shared" si="1"/>
        <v>10</v>
      </c>
      <c r="B108" s="343" t="s">
        <v>336</v>
      </c>
      <c r="C108" s="404" t="s">
        <v>438</v>
      </c>
      <c r="D108" s="397" t="s">
        <v>370</v>
      </c>
      <c r="E108" s="395">
        <v>45</v>
      </c>
      <c r="F108" s="349"/>
      <c r="G108" s="344"/>
      <c r="H108" s="344"/>
      <c r="I108" s="344"/>
      <c r="J108" s="344"/>
      <c r="K108" s="398"/>
      <c r="L108" s="399"/>
      <c r="M108" s="400"/>
      <c r="N108" s="400"/>
      <c r="O108" s="400"/>
      <c r="P108" s="398"/>
    </row>
    <row r="109" spans="1:16" ht="22.5">
      <c r="A109" s="347">
        <f t="shared" si="1"/>
        <v>11</v>
      </c>
      <c r="B109" s="343" t="s">
        <v>336</v>
      </c>
      <c r="C109" s="396" t="s">
        <v>428</v>
      </c>
      <c r="D109" s="397" t="s">
        <v>1</v>
      </c>
      <c r="E109" s="395">
        <v>45</v>
      </c>
      <c r="F109" s="349"/>
      <c r="G109" s="344"/>
      <c r="H109" s="344"/>
      <c r="I109" s="344"/>
      <c r="J109" s="344"/>
      <c r="K109" s="398"/>
      <c r="L109" s="399"/>
      <c r="M109" s="400"/>
      <c r="N109" s="400"/>
      <c r="O109" s="400"/>
      <c r="P109" s="398"/>
    </row>
    <row r="110" spans="1:16" ht="11.25">
      <c r="A110" s="347">
        <f t="shared" si="1"/>
        <v>12</v>
      </c>
      <c r="B110" s="343" t="s">
        <v>336</v>
      </c>
      <c r="C110" s="404" t="s">
        <v>429</v>
      </c>
      <c r="D110" s="397" t="s">
        <v>1</v>
      </c>
      <c r="E110" s="395">
        <v>45</v>
      </c>
      <c r="F110" s="349"/>
      <c r="G110" s="344"/>
      <c r="H110" s="344"/>
      <c r="I110" s="344"/>
      <c r="J110" s="344"/>
      <c r="K110" s="398"/>
      <c r="L110" s="399"/>
      <c r="M110" s="400"/>
      <c r="N110" s="400"/>
      <c r="O110" s="400"/>
      <c r="P110" s="398"/>
    </row>
    <row r="111" spans="1:16" ht="11.25">
      <c r="A111" s="347">
        <f t="shared" si="1"/>
        <v>13</v>
      </c>
      <c r="B111" s="343" t="s">
        <v>336</v>
      </c>
      <c r="C111" s="404" t="s">
        <v>430</v>
      </c>
      <c r="D111" s="397" t="s">
        <v>376</v>
      </c>
      <c r="E111" s="395">
        <v>45</v>
      </c>
      <c r="F111" s="349"/>
      <c r="G111" s="344"/>
      <c r="H111" s="344"/>
      <c r="I111" s="344"/>
      <c r="J111" s="344"/>
      <c r="K111" s="398"/>
      <c r="L111" s="399"/>
      <c r="M111" s="400"/>
      <c r="N111" s="400"/>
      <c r="O111" s="400"/>
      <c r="P111" s="398"/>
    </row>
    <row r="112" spans="1:16" ht="11.25">
      <c r="A112" s="347">
        <f t="shared" si="1"/>
        <v>14</v>
      </c>
      <c r="B112" s="343" t="s">
        <v>336</v>
      </c>
      <c r="C112" s="404" t="s">
        <v>431</v>
      </c>
      <c r="D112" s="397" t="s">
        <v>1</v>
      </c>
      <c r="E112" s="395">
        <v>9</v>
      </c>
      <c r="F112" s="349"/>
      <c r="G112" s="344"/>
      <c r="H112" s="344"/>
      <c r="I112" s="344"/>
      <c r="J112" s="344"/>
      <c r="K112" s="398"/>
      <c r="L112" s="399"/>
      <c r="M112" s="400"/>
      <c r="N112" s="400"/>
      <c r="O112" s="400"/>
      <c r="P112" s="398"/>
    </row>
    <row r="113" spans="1:16" ht="11.25">
      <c r="A113" s="347">
        <f t="shared" si="1"/>
        <v>15</v>
      </c>
      <c r="B113" s="343" t="s">
        <v>336</v>
      </c>
      <c r="C113" s="396" t="s">
        <v>432</v>
      </c>
      <c r="D113" s="397" t="s">
        <v>1</v>
      </c>
      <c r="E113" s="395">
        <v>9</v>
      </c>
      <c r="F113" s="349"/>
      <c r="G113" s="344"/>
      <c r="H113" s="344"/>
      <c r="I113" s="344"/>
      <c r="J113" s="344"/>
      <c r="K113" s="398"/>
      <c r="L113" s="399"/>
      <c r="M113" s="400"/>
      <c r="N113" s="400"/>
      <c r="O113" s="400"/>
      <c r="P113" s="398"/>
    </row>
    <row r="114" spans="1:16" ht="22.5">
      <c r="A114" s="347">
        <f t="shared" si="1"/>
        <v>16</v>
      </c>
      <c r="B114" s="343" t="s">
        <v>336</v>
      </c>
      <c r="C114" s="404" t="s">
        <v>439</v>
      </c>
      <c r="D114" s="397" t="s">
        <v>101</v>
      </c>
      <c r="E114" s="395">
        <v>140</v>
      </c>
      <c r="F114" s="349"/>
      <c r="G114" s="344"/>
      <c r="H114" s="344"/>
      <c r="I114" s="344"/>
      <c r="J114" s="344"/>
      <c r="K114" s="398"/>
      <c r="L114" s="399"/>
      <c r="M114" s="400"/>
      <c r="N114" s="400"/>
      <c r="O114" s="400"/>
      <c r="P114" s="398"/>
    </row>
    <row r="115" spans="1:16" ht="11.25">
      <c r="A115" s="347">
        <f t="shared" si="1"/>
        <v>17</v>
      </c>
      <c r="B115" s="343" t="s">
        <v>336</v>
      </c>
      <c r="C115" s="396" t="s">
        <v>440</v>
      </c>
      <c r="D115" s="397" t="s">
        <v>101</v>
      </c>
      <c r="E115" s="395">
        <v>140</v>
      </c>
      <c r="F115" s="349"/>
      <c r="G115" s="344"/>
      <c r="H115" s="344"/>
      <c r="I115" s="344"/>
      <c r="J115" s="344"/>
      <c r="K115" s="398"/>
      <c r="L115" s="399"/>
      <c r="M115" s="400"/>
      <c r="N115" s="400"/>
      <c r="O115" s="400"/>
      <c r="P115" s="398"/>
    </row>
    <row r="116" spans="1:16" ht="11.25">
      <c r="A116" s="347">
        <f t="shared" si="1"/>
        <v>18</v>
      </c>
      <c r="B116" s="343" t="s">
        <v>336</v>
      </c>
      <c r="C116" s="396" t="s">
        <v>441</v>
      </c>
      <c r="D116" s="397" t="s">
        <v>1</v>
      </c>
      <c r="E116" s="395">
        <v>5</v>
      </c>
      <c r="F116" s="349"/>
      <c r="G116" s="344"/>
      <c r="H116" s="344"/>
      <c r="I116" s="344"/>
      <c r="J116" s="344"/>
      <c r="K116" s="398"/>
      <c r="L116" s="399"/>
      <c r="M116" s="400"/>
      <c r="N116" s="400"/>
      <c r="O116" s="400"/>
      <c r="P116" s="398"/>
    </row>
    <row r="117" spans="1:16" ht="22.5">
      <c r="A117" s="347"/>
      <c r="B117" s="343"/>
      <c r="C117" s="408" t="s">
        <v>442</v>
      </c>
      <c r="D117" s="397"/>
      <c r="E117" s="395"/>
      <c r="F117" s="349"/>
      <c r="G117" s="344"/>
      <c r="H117" s="344"/>
      <c r="I117" s="344"/>
      <c r="J117" s="344"/>
      <c r="K117" s="398"/>
      <c r="L117" s="399"/>
      <c r="M117" s="400"/>
      <c r="N117" s="400"/>
      <c r="O117" s="400"/>
      <c r="P117" s="398"/>
    </row>
    <row r="118" spans="1:16" ht="11.25">
      <c r="A118" s="347">
        <f t="shared" si="1"/>
        <v>1</v>
      </c>
      <c r="B118" s="343" t="s">
        <v>336</v>
      </c>
      <c r="C118" s="396" t="s">
        <v>443</v>
      </c>
      <c r="D118" s="397" t="s">
        <v>101</v>
      </c>
      <c r="E118" s="395">
        <v>180</v>
      </c>
      <c r="F118" s="349"/>
      <c r="G118" s="344"/>
      <c r="H118" s="344"/>
      <c r="I118" s="344"/>
      <c r="J118" s="344"/>
      <c r="K118" s="398"/>
      <c r="L118" s="399"/>
      <c r="M118" s="400"/>
      <c r="N118" s="400"/>
      <c r="O118" s="400"/>
      <c r="P118" s="398"/>
    </row>
    <row r="119" spans="1:16" ht="11.25">
      <c r="A119" s="347">
        <f t="shared" si="1"/>
        <v>2</v>
      </c>
      <c r="B119" s="343" t="s">
        <v>336</v>
      </c>
      <c r="C119" s="396" t="s">
        <v>444</v>
      </c>
      <c r="D119" s="397" t="s">
        <v>1</v>
      </c>
      <c r="E119" s="395">
        <v>45</v>
      </c>
      <c r="F119" s="349"/>
      <c r="G119" s="344"/>
      <c r="H119" s="344"/>
      <c r="I119" s="344"/>
      <c r="J119" s="344"/>
      <c r="K119" s="398"/>
      <c r="L119" s="399"/>
      <c r="M119" s="400"/>
      <c r="N119" s="400"/>
      <c r="O119" s="400"/>
      <c r="P119" s="398"/>
    </row>
    <row r="120" spans="1:16" ht="11.25">
      <c r="A120" s="347">
        <f t="shared" si="1"/>
        <v>3</v>
      </c>
      <c r="B120" s="343" t="s">
        <v>336</v>
      </c>
      <c r="C120" s="396" t="s">
        <v>419</v>
      </c>
      <c r="D120" s="397" t="s">
        <v>101</v>
      </c>
      <c r="E120" s="395">
        <v>180</v>
      </c>
      <c r="F120" s="349"/>
      <c r="G120" s="344"/>
      <c r="H120" s="344"/>
      <c r="I120" s="344"/>
      <c r="J120" s="344"/>
      <c r="K120" s="398"/>
      <c r="L120" s="399"/>
      <c r="M120" s="400"/>
      <c r="N120" s="400"/>
      <c r="O120" s="400"/>
      <c r="P120" s="398"/>
    </row>
    <row r="121" spans="1:16" ht="11.25">
      <c r="A121" s="347">
        <f t="shared" si="1"/>
        <v>4</v>
      </c>
      <c r="B121" s="343" t="s">
        <v>336</v>
      </c>
      <c r="C121" s="396" t="s">
        <v>445</v>
      </c>
      <c r="D121" s="397" t="s">
        <v>101</v>
      </c>
      <c r="E121" s="395">
        <v>180</v>
      </c>
      <c r="F121" s="349"/>
      <c r="G121" s="344"/>
      <c r="H121" s="344"/>
      <c r="I121" s="344"/>
      <c r="J121" s="344"/>
      <c r="K121" s="398"/>
      <c r="L121" s="399"/>
      <c r="M121" s="400"/>
      <c r="N121" s="400"/>
      <c r="O121" s="400"/>
      <c r="P121" s="398"/>
    </row>
    <row r="122" spans="1:16" ht="11.25">
      <c r="A122" s="347">
        <f t="shared" si="1"/>
        <v>5</v>
      </c>
      <c r="B122" s="343" t="s">
        <v>336</v>
      </c>
      <c r="C122" s="396" t="s">
        <v>446</v>
      </c>
      <c r="D122" s="397" t="s">
        <v>1</v>
      </c>
      <c r="E122" s="395">
        <v>50</v>
      </c>
      <c r="F122" s="349"/>
      <c r="G122" s="344"/>
      <c r="H122" s="344"/>
      <c r="I122" s="344"/>
      <c r="J122" s="344"/>
      <c r="K122" s="398"/>
      <c r="L122" s="399"/>
      <c r="M122" s="400"/>
      <c r="N122" s="400"/>
      <c r="O122" s="400"/>
      <c r="P122" s="398"/>
    </row>
    <row r="123" spans="1:16" ht="11.25">
      <c r="A123" s="347">
        <f t="shared" si="1"/>
        <v>6</v>
      </c>
      <c r="B123" s="343" t="s">
        <v>336</v>
      </c>
      <c r="C123" s="396" t="s">
        <v>447</v>
      </c>
      <c r="D123" s="397" t="s">
        <v>1</v>
      </c>
      <c r="E123" s="395">
        <v>70</v>
      </c>
      <c r="F123" s="349"/>
      <c r="G123" s="344"/>
      <c r="H123" s="344"/>
      <c r="I123" s="344"/>
      <c r="J123" s="344"/>
      <c r="K123" s="398"/>
      <c r="L123" s="399"/>
      <c r="M123" s="400"/>
      <c r="N123" s="400"/>
      <c r="O123" s="400"/>
      <c r="P123" s="398"/>
    </row>
    <row r="124" spans="1:16" ht="11.25">
      <c r="A124" s="347">
        <f t="shared" si="1"/>
        <v>7</v>
      </c>
      <c r="B124" s="343" t="s">
        <v>336</v>
      </c>
      <c r="C124" s="404" t="s">
        <v>448</v>
      </c>
      <c r="D124" s="397" t="s">
        <v>1</v>
      </c>
      <c r="E124" s="395">
        <v>108</v>
      </c>
      <c r="F124" s="349"/>
      <c r="G124" s="344"/>
      <c r="H124" s="344"/>
      <c r="I124" s="344"/>
      <c r="J124" s="344"/>
      <c r="K124" s="398"/>
      <c r="L124" s="399"/>
      <c r="M124" s="400"/>
      <c r="N124" s="400"/>
      <c r="O124" s="400"/>
      <c r="P124" s="398"/>
    </row>
    <row r="125" spans="1:16" ht="11.25">
      <c r="A125" s="347">
        <f t="shared" si="1"/>
        <v>8</v>
      </c>
      <c r="B125" s="343" t="s">
        <v>336</v>
      </c>
      <c r="C125" s="404" t="s">
        <v>281</v>
      </c>
      <c r="D125" s="397" t="s">
        <v>376</v>
      </c>
      <c r="E125" s="395">
        <v>9</v>
      </c>
      <c r="F125" s="349"/>
      <c r="G125" s="344"/>
      <c r="H125" s="344"/>
      <c r="I125" s="344"/>
      <c r="J125" s="344"/>
      <c r="K125" s="398"/>
      <c r="L125" s="399"/>
      <c r="M125" s="400"/>
      <c r="N125" s="400"/>
      <c r="O125" s="400"/>
      <c r="P125" s="398"/>
    </row>
    <row r="126" spans="1:16" ht="22.5">
      <c r="A126" s="347">
        <f t="shared" si="1"/>
        <v>9</v>
      </c>
      <c r="B126" s="343" t="s">
        <v>336</v>
      </c>
      <c r="C126" s="396" t="s">
        <v>449</v>
      </c>
      <c r="D126" s="397" t="s">
        <v>370</v>
      </c>
      <c r="E126" s="395">
        <v>9</v>
      </c>
      <c r="F126" s="349"/>
      <c r="G126" s="344"/>
      <c r="H126" s="344"/>
      <c r="I126" s="344"/>
      <c r="J126" s="344"/>
      <c r="K126" s="398"/>
      <c r="L126" s="399"/>
      <c r="M126" s="400"/>
      <c r="N126" s="400"/>
      <c r="O126" s="400"/>
      <c r="P126" s="398"/>
    </row>
    <row r="127" spans="1:16" ht="22.5">
      <c r="A127" s="347">
        <f t="shared" si="1"/>
        <v>10</v>
      </c>
      <c r="B127" s="343" t="s">
        <v>336</v>
      </c>
      <c r="C127" s="419" t="s">
        <v>450</v>
      </c>
      <c r="D127" s="397" t="s">
        <v>1</v>
      </c>
      <c r="E127" s="395">
        <v>9</v>
      </c>
      <c r="F127" s="349"/>
      <c r="G127" s="344"/>
      <c r="H127" s="344"/>
      <c r="I127" s="344"/>
      <c r="J127" s="344"/>
      <c r="K127" s="398"/>
      <c r="L127" s="399"/>
      <c r="M127" s="400"/>
      <c r="N127" s="400"/>
      <c r="O127" s="400"/>
      <c r="P127" s="398"/>
    </row>
    <row r="128" spans="1:16" ht="22.5">
      <c r="A128" s="347">
        <f t="shared" si="1"/>
        <v>11</v>
      </c>
      <c r="B128" s="343" t="s">
        <v>336</v>
      </c>
      <c r="C128" s="396" t="s">
        <v>451</v>
      </c>
      <c r="D128" s="397" t="s">
        <v>1</v>
      </c>
      <c r="E128" s="395">
        <v>9</v>
      </c>
      <c r="F128" s="349"/>
      <c r="G128" s="344"/>
      <c r="H128" s="344"/>
      <c r="I128" s="344"/>
      <c r="J128" s="344"/>
      <c r="K128" s="398"/>
      <c r="L128" s="399"/>
      <c r="M128" s="400"/>
      <c r="N128" s="400"/>
      <c r="O128" s="400"/>
      <c r="P128" s="398"/>
    </row>
    <row r="129" spans="1:16" ht="11.25">
      <c r="A129" s="347">
        <f t="shared" si="1"/>
        <v>12</v>
      </c>
      <c r="B129" s="343" t="s">
        <v>336</v>
      </c>
      <c r="C129" s="396" t="s">
        <v>452</v>
      </c>
      <c r="D129" s="397" t="s">
        <v>1</v>
      </c>
      <c r="E129" s="395">
        <v>9</v>
      </c>
      <c r="F129" s="349"/>
      <c r="G129" s="344"/>
      <c r="H129" s="344"/>
      <c r="I129" s="344"/>
      <c r="J129" s="344"/>
      <c r="K129" s="398"/>
      <c r="L129" s="399"/>
      <c r="M129" s="400"/>
      <c r="N129" s="400"/>
      <c r="O129" s="400"/>
      <c r="P129" s="398"/>
    </row>
    <row r="130" spans="1:16" ht="11.25">
      <c r="A130" s="347">
        <f t="shared" si="1"/>
        <v>13</v>
      </c>
      <c r="B130" s="343" t="s">
        <v>336</v>
      </c>
      <c r="C130" s="396" t="s">
        <v>453</v>
      </c>
      <c r="D130" s="397" t="s">
        <v>1</v>
      </c>
      <c r="E130" s="395">
        <v>45</v>
      </c>
      <c r="F130" s="349"/>
      <c r="G130" s="344"/>
      <c r="H130" s="344"/>
      <c r="I130" s="344"/>
      <c r="J130" s="344"/>
      <c r="K130" s="398"/>
      <c r="L130" s="399"/>
      <c r="M130" s="400"/>
      <c r="N130" s="400"/>
      <c r="O130" s="400"/>
      <c r="P130" s="398"/>
    </row>
    <row r="131" spans="1:16" ht="22.5">
      <c r="A131" s="347">
        <f t="shared" si="1"/>
        <v>14</v>
      </c>
      <c r="B131" s="343" t="s">
        <v>336</v>
      </c>
      <c r="C131" s="406" t="s">
        <v>454</v>
      </c>
      <c r="D131" s="397" t="s">
        <v>1</v>
      </c>
      <c r="E131" s="395">
        <v>45</v>
      </c>
      <c r="F131" s="349"/>
      <c r="G131" s="344"/>
      <c r="H131" s="344"/>
      <c r="I131" s="344"/>
      <c r="J131" s="344"/>
      <c r="K131" s="398"/>
      <c r="L131" s="399"/>
      <c r="M131" s="400"/>
      <c r="N131" s="400"/>
      <c r="O131" s="400"/>
      <c r="P131" s="398"/>
    </row>
    <row r="132" spans="1:16" ht="22.5">
      <c r="A132" s="347">
        <f t="shared" si="1"/>
        <v>15</v>
      </c>
      <c r="B132" s="343" t="s">
        <v>336</v>
      </c>
      <c r="C132" s="396" t="s">
        <v>455</v>
      </c>
      <c r="D132" s="397" t="s">
        <v>1</v>
      </c>
      <c r="E132" s="395">
        <v>90</v>
      </c>
      <c r="F132" s="349"/>
      <c r="G132" s="344"/>
      <c r="H132" s="344"/>
      <c r="I132" s="344"/>
      <c r="J132" s="344"/>
      <c r="K132" s="398"/>
      <c r="L132" s="399"/>
      <c r="M132" s="400"/>
      <c r="N132" s="400"/>
      <c r="O132" s="400"/>
      <c r="P132" s="398"/>
    </row>
    <row r="133" spans="1:16" ht="22.5">
      <c r="A133" s="347">
        <f t="shared" si="1"/>
        <v>16</v>
      </c>
      <c r="B133" s="343" t="s">
        <v>336</v>
      </c>
      <c r="C133" s="396" t="s">
        <v>456</v>
      </c>
      <c r="D133" s="397" t="s">
        <v>1</v>
      </c>
      <c r="E133" s="395">
        <v>99</v>
      </c>
      <c r="F133" s="349"/>
      <c r="G133" s="344"/>
      <c r="H133" s="344"/>
      <c r="I133" s="344"/>
      <c r="J133" s="344"/>
      <c r="K133" s="398"/>
      <c r="L133" s="399"/>
      <c r="M133" s="400"/>
      <c r="N133" s="400"/>
      <c r="O133" s="400"/>
      <c r="P133" s="398"/>
    </row>
    <row r="134" spans="1:16" ht="11.25">
      <c r="A134" s="347">
        <f t="shared" si="1"/>
        <v>17</v>
      </c>
      <c r="B134" s="343" t="s">
        <v>336</v>
      </c>
      <c r="C134" s="396" t="s">
        <v>457</v>
      </c>
      <c r="D134" s="397" t="s">
        <v>1</v>
      </c>
      <c r="E134" s="395">
        <v>90</v>
      </c>
      <c r="F134" s="349"/>
      <c r="G134" s="344"/>
      <c r="H134" s="344"/>
      <c r="I134" s="344"/>
      <c r="J134" s="344"/>
      <c r="K134" s="398"/>
      <c r="L134" s="399"/>
      <c r="M134" s="400"/>
      <c r="N134" s="400"/>
      <c r="O134" s="400"/>
      <c r="P134" s="398"/>
    </row>
    <row r="135" spans="1:16" ht="22.5">
      <c r="A135" s="347">
        <f t="shared" si="1"/>
        <v>18</v>
      </c>
      <c r="B135" s="343" t="s">
        <v>336</v>
      </c>
      <c r="C135" s="396" t="s">
        <v>458</v>
      </c>
      <c r="D135" s="397" t="s">
        <v>376</v>
      </c>
      <c r="E135" s="395">
        <v>9</v>
      </c>
      <c r="F135" s="349"/>
      <c r="G135" s="344"/>
      <c r="H135" s="344"/>
      <c r="I135" s="344"/>
      <c r="J135" s="344"/>
      <c r="K135" s="398"/>
      <c r="L135" s="399"/>
      <c r="M135" s="400"/>
      <c r="N135" s="400"/>
      <c r="O135" s="400"/>
      <c r="P135" s="398"/>
    </row>
    <row r="136" spans="1:16" ht="22.5">
      <c r="A136" s="347">
        <f t="shared" si="1"/>
        <v>19</v>
      </c>
      <c r="B136" s="343" t="s">
        <v>336</v>
      </c>
      <c r="C136" s="396" t="s">
        <v>459</v>
      </c>
      <c r="D136" s="397" t="s">
        <v>1</v>
      </c>
      <c r="E136" s="395">
        <v>9</v>
      </c>
      <c r="F136" s="349"/>
      <c r="G136" s="344"/>
      <c r="H136" s="344"/>
      <c r="I136" s="344"/>
      <c r="J136" s="344"/>
      <c r="K136" s="398"/>
      <c r="L136" s="399"/>
      <c r="M136" s="400"/>
      <c r="N136" s="400"/>
      <c r="O136" s="400"/>
      <c r="P136" s="398"/>
    </row>
    <row r="137" spans="1:16" ht="22.5">
      <c r="A137" s="347">
        <f t="shared" si="1"/>
        <v>20</v>
      </c>
      <c r="B137" s="343" t="s">
        <v>336</v>
      </c>
      <c r="C137" s="396" t="s">
        <v>460</v>
      </c>
      <c r="D137" s="397" t="s">
        <v>1</v>
      </c>
      <c r="E137" s="395">
        <v>18</v>
      </c>
      <c r="F137" s="349"/>
      <c r="G137" s="344"/>
      <c r="H137" s="344"/>
      <c r="I137" s="344"/>
      <c r="J137" s="344"/>
      <c r="K137" s="398"/>
      <c r="L137" s="399"/>
      <c r="M137" s="400"/>
      <c r="N137" s="400"/>
      <c r="O137" s="400"/>
      <c r="P137" s="398"/>
    </row>
    <row r="138" spans="1:16" ht="11.25">
      <c r="A138" s="347">
        <f t="shared" si="1"/>
        <v>21</v>
      </c>
      <c r="B138" s="343" t="s">
        <v>336</v>
      </c>
      <c r="C138" s="396" t="s">
        <v>461</v>
      </c>
      <c r="D138" s="397" t="s">
        <v>1</v>
      </c>
      <c r="E138" s="395">
        <v>9</v>
      </c>
      <c r="F138" s="349"/>
      <c r="G138" s="344"/>
      <c r="H138" s="344"/>
      <c r="I138" s="344"/>
      <c r="J138" s="344"/>
      <c r="K138" s="398"/>
      <c r="L138" s="399"/>
      <c r="M138" s="400"/>
      <c r="N138" s="400"/>
      <c r="O138" s="400"/>
      <c r="P138" s="398"/>
    </row>
    <row r="139" spans="1:16" ht="11.25">
      <c r="A139" s="347">
        <f t="shared" si="1"/>
        <v>22</v>
      </c>
      <c r="B139" s="343" t="s">
        <v>336</v>
      </c>
      <c r="C139" s="396" t="s">
        <v>462</v>
      </c>
      <c r="D139" s="397" t="s">
        <v>1</v>
      </c>
      <c r="E139" s="395">
        <v>9</v>
      </c>
      <c r="F139" s="349"/>
      <c r="G139" s="344"/>
      <c r="H139" s="344"/>
      <c r="I139" s="344"/>
      <c r="J139" s="344"/>
      <c r="K139" s="398"/>
      <c r="L139" s="399"/>
      <c r="M139" s="400"/>
      <c r="N139" s="400"/>
      <c r="O139" s="400"/>
      <c r="P139" s="398"/>
    </row>
    <row r="140" spans="1:16" ht="11.25">
      <c r="A140" s="347">
        <f t="shared" si="1"/>
        <v>23</v>
      </c>
      <c r="B140" s="343" t="s">
        <v>336</v>
      </c>
      <c r="C140" s="396" t="s">
        <v>423</v>
      </c>
      <c r="D140" s="397" t="s">
        <v>1</v>
      </c>
      <c r="E140" s="395">
        <v>9</v>
      </c>
      <c r="F140" s="349"/>
      <c r="G140" s="344"/>
      <c r="H140" s="344"/>
      <c r="I140" s="344"/>
      <c r="J140" s="344"/>
      <c r="K140" s="398"/>
      <c r="L140" s="399"/>
      <c r="M140" s="400"/>
      <c r="N140" s="400"/>
      <c r="O140" s="400"/>
      <c r="P140" s="398"/>
    </row>
    <row r="141" spans="1:16" ht="22.5">
      <c r="A141" s="347">
        <f t="shared" si="1"/>
        <v>24</v>
      </c>
      <c r="B141" s="343" t="s">
        <v>336</v>
      </c>
      <c r="C141" s="396" t="s">
        <v>463</v>
      </c>
      <c r="D141" s="397" t="s">
        <v>1</v>
      </c>
      <c r="E141" s="395">
        <v>9</v>
      </c>
      <c r="F141" s="349"/>
      <c r="G141" s="344"/>
      <c r="H141" s="344"/>
      <c r="I141" s="344"/>
      <c r="J141" s="344"/>
      <c r="K141" s="398"/>
      <c r="L141" s="399"/>
      <c r="M141" s="400"/>
      <c r="N141" s="400"/>
      <c r="O141" s="400"/>
      <c r="P141" s="398"/>
    </row>
    <row r="142" spans="1:16" ht="11.25">
      <c r="A142" s="347"/>
      <c r="B142" s="343"/>
      <c r="C142" s="408" t="s">
        <v>464</v>
      </c>
      <c r="D142" s="397"/>
      <c r="E142" s="395"/>
      <c r="F142" s="349"/>
      <c r="G142" s="344"/>
      <c r="H142" s="344"/>
      <c r="I142" s="344"/>
      <c r="J142" s="344"/>
      <c r="K142" s="398"/>
      <c r="L142" s="399"/>
      <c r="M142" s="400"/>
      <c r="N142" s="400"/>
      <c r="O142" s="400"/>
      <c r="P142" s="398"/>
    </row>
    <row r="143" spans="1:16" ht="11.25">
      <c r="A143" s="347">
        <f t="shared" si="1"/>
        <v>1</v>
      </c>
      <c r="B143" s="343" t="s">
        <v>336</v>
      </c>
      <c r="C143" s="396" t="s">
        <v>465</v>
      </c>
      <c r="D143" s="397" t="s">
        <v>101</v>
      </c>
      <c r="E143" s="395">
        <v>75</v>
      </c>
      <c r="F143" s="349"/>
      <c r="G143" s="344"/>
      <c r="H143" s="344"/>
      <c r="I143" s="344"/>
      <c r="J143" s="344"/>
      <c r="K143" s="398"/>
      <c r="L143" s="399"/>
      <c r="M143" s="400"/>
      <c r="N143" s="400"/>
      <c r="O143" s="400"/>
      <c r="P143" s="398"/>
    </row>
    <row r="144" spans="1:16" ht="22.5">
      <c r="A144" s="347">
        <f t="shared" si="1"/>
        <v>2</v>
      </c>
      <c r="B144" s="343" t="s">
        <v>336</v>
      </c>
      <c r="C144" s="396" t="s">
        <v>466</v>
      </c>
      <c r="D144" s="397" t="s">
        <v>376</v>
      </c>
      <c r="E144" s="395">
        <v>1</v>
      </c>
      <c r="F144" s="349"/>
      <c r="G144" s="344"/>
      <c r="H144" s="344"/>
      <c r="I144" s="344"/>
      <c r="J144" s="344"/>
      <c r="K144" s="398"/>
      <c r="L144" s="399"/>
      <c r="M144" s="400"/>
      <c r="N144" s="400"/>
      <c r="O144" s="400"/>
      <c r="P144" s="398"/>
    </row>
    <row r="145" spans="1:16" ht="11.25">
      <c r="A145" s="347">
        <f t="shared" si="1"/>
        <v>3</v>
      </c>
      <c r="B145" s="343" t="s">
        <v>336</v>
      </c>
      <c r="C145" s="396" t="s">
        <v>467</v>
      </c>
      <c r="D145" s="397" t="s">
        <v>101</v>
      </c>
      <c r="E145" s="395">
        <v>35</v>
      </c>
      <c r="F145" s="349"/>
      <c r="G145" s="344"/>
      <c r="H145" s="344"/>
      <c r="I145" s="344"/>
      <c r="J145" s="344"/>
      <c r="K145" s="398"/>
      <c r="L145" s="399"/>
      <c r="M145" s="400"/>
      <c r="N145" s="400"/>
      <c r="O145" s="400"/>
      <c r="P145" s="398"/>
    </row>
    <row r="146" spans="1:16" ht="11.25">
      <c r="A146" s="347">
        <f t="shared" si="1"/>
        <v>4</v>
      </c>
      <c r="B146" s="343" t="s">
        <v>336</v>
      </c>
      <c r="C146" s="396" t="s">
        <v>468</v>
      </c>
      <c r="D146" s="397" t="s">
        <v>101</v>
      </c>
      <c r="E146" s="395">
        <v>35</v>
      </c>
      <c r="F146" s="349"/>
      <c r="G146" s="344"/>
      <c r="H146" s="344"/>
      <c r="I146" s="344"/>
      <c r="J146" s="344"/>
      <c r="K146" s="398"/>
      <c r="L146" s="399"/>
      <c r="M146" s="400"/>
      <c r="N146" s="400"/>
      <c r="O146" s="400"/>
      <c r="P146" s="398"/>
    </row>
    <row r="147" spans="1:16" ht="11.25">
      <c r="A147" s="347">
        <f aca="true" t="shared" si="2" ref="A147:A205">A146+1</f>
        <v>5</v>
      </c>
      <c r="B147" s="343" t="s">
        <v>336</v>
      </c>
      <c r="C147" s="396" t="s">
        <v>469</v>
      </c>
      <c r="D147" s="397" t="s">
        <v>1</v>
      </c>
      <c r="E147" s="395">
        <v>10</v>
      </c>
      <c r="F147" s="349"/>
      <c r="G147" s="344"/>
      <c r="H147" s="344"/>
      <c r="I147" s="344"/>
      <c r="J147" s="344"/>
      <c r="K147" s="398"/>
      <c r="L147" s="399"/>
      <c r="M147" s="400"/>
      <c r="N147" s="400"/>
      <c r="O147" s="400"/>
      <c r="P147" s="398"/>
    </row>
    <row r="148" spans="1:16" ht="11.25">
      <c r="A148" s="347">
        <f t="shared" si="2"/>
        <v>6</v>
      </c>
      <c r="B148" s="343" t="s">
        <v>336</v>
      </c>
      <c r="C148" s="396" t="s">
        <v>470</v>
      </c>
      <c r="D148" s="397" t="s">
        <v>1</v>
      </c>
      <c r="E148" s="395">
        <v>6</v>
      </c>
      <c r="F148" s="349"/>
      <c r="G148" s="344"/>
      <c r="H148" s="344"/>
      <c r="I148" s="344"/>
      <c r="J148" s="344"/>
      <c r="K148" s="398"/>
      <c r="L148" s="399"/>
      <c r="M148" s="400"/>
      <c r="N148" s="400"/>
      <c r="O148" s="400"/>
      <c r="P148" s="398"/>
    </row>
    <row r="149" spans="1:16" ht="11.25">
      <c r="A149" s="347">
        <f t="shared" si="2"/>
        <v>7</v>
      </c>
      <c r="B149" s="343" t="s">
        <v>336</v>
      </c>
      <c r="C149" s="404" t="s">
        <v>471</v>
      </c>
      <c r="D149" s="397" t="s">
        <v>1</v>
      </c>
      <c r="E149" s="395">
        <v>40</v>
      </c>
      <c r="F149" s="349"/>
      <c r="G149" s="344"/>
      <c r="H149" s="344"/>
      <c r="I149" s="344"/>
      <c r="J149" s="344"/>
      <c r="K149" s="398"/>
      <c r="L149" s="399"/>
      <c r="M149" s="400"/>
      <c r="N149" s="400"/>
      <c r="O149" s="400"/>
      <c r="P149" s="398"/>
    </row>
    <row r="150" spans="1:16" ht="11.25">
      <c r="A150" s="347">
        <f t="shared" si="2"/>
        <v>8</v>
      </c>
      <c r="B150" s="343" t="s">
        <v>336</v>
      </c>
      <c r="C150" s="396" t="s">
        <v>472</v>
      </c>
      <c r="D150" s="397" t="s">
        <v>101</v>
      </c>
      <c r="E150" s="395">
        <v>40</v>
      </c>
      <c r="F150" s="349"/>
      <c r="G150" s="344"/>
      <c r="H150" s="344"/>
      <c r="I150" s="344"/>
      <c r="J150" s="344"/>
      <c r="K150" s="398"/>
      <c r="L150" s="399"/>
      <c r="M150" s="400"/>
      <c r="N150" s="400"/>
      <c r="O150" s="400"/>
      <c r="P150" s="398"/>
    </row>
    <row r="151" spans="1:16" ht="11.25">
      <c r="A151" s="347">
        <f t="shared" si="2"/>
        <v>9</v>
      </c>
      <c r="B151" s="343" t="s">
        <v>336</v>
      </c>
      <c r="C151" s="396" t="s">
        <v>473</v>
      </c>
      <c r="D151" s="397" t="s">
        <v>101</v>
      </c>
      <c r="E151" s="395">
        <v>40</v>
      </c>
      <c r="F151" s="349"/>
      <c r="G151" s="344"/>
      <c r="H151" s="344"/>
      <c r="I151" s="344"/>
      <c r="J151" s="344"/>
      <c r="K151" s="398"/>
      <c r="L151" s="399"/>
      <c r="M151" s="400"/>
      <c r="N151" s="400"/>
      <c r="O151" s="400"/>
      <c r="P151" s="398"/>
    </row>
    <row r="152" spans="1:16" ht="11.25">
      <c r="A152" s="347">
        <f t="shared" si="2"/>
        <v>10</v>
      </c>
      <c r="B152" s="343" t="s">
        <v>336</v>
      </c>
      <c r="C152" s="396" t="s">
        <v>469</v>
      </c>
      <c r="D152" s="397" t="s">
        <v>1</v>
      </c>
      <c r="E152" s="395">
        <v>12</v>
      </c>
      <c r="F152" s="349"/>
      <c r="G152" s="344"/>
      <c r="H152" s="344"/>
      <c r="I152" s="344"/>
      <c r="J152" s="344"/>
      <c r="K152" s="398"/>
      <c r="L152" s="399"/>
      <c r="M152" s="400"/>
      <c r="N152" s="400"/>
      <c r="O152" s="400"/>
      <c r="P152" s="398"/>
    </row>
    <row r="153" spans="1:16" ht="11.25">
      <c r="A153" s="347">
        <f t="shared" si="2"/>
        <v>11</v>
      </c>
      <c r="B153" s="343" t="s">
        <v>336</v>
      </c>
      <c r="C153" s="396" t="s">
        <v>470</v>
      </c>
      <c r="D153" s="397" t="s">
        <v>1</v>
      </c>
      <c r="E153" s="395">
        <v>20</v>
      </c>
      <c r="F153" s="349"/>
      <c r="G153" s="344"/>
      <c r="H153" s="344"/>
      <c r="I153" s="344"/>
      <c r="J153" s="344"/>
      <c r="K153" s="398"/>
      <c r="L153" s="399"/>
      <c r="M153" s="400"/>
      <c r="N153" s="400"/>
      <c r="O153" s="400"/>
      <c r="P153" s="398"/>
    </row>
    <row r="154" spans="1:16" ht="22.5">
      <c r="A154" s="347">
        <f t="shared" si="2"/>
        <v>12</v>
      </c>
      <c r="B154" s="343" t="s">
        <v>336</v>
      </c>
      <c r="C154" s="396" t="s">
        <v>474</v>
      </c>
      <c r="D154" s="397" t="s">
        <v>1</v>
      </c>
      <c r="E154" s="395">
        <v>6</v>
      </c>
      <c r="F154" s="349"/>
      <c r="G154" s="344"/>
      <c r="H154" s="344"/>
      <c r="I154" s="344"/>
      <c r="J154" s="344"/>
      <c r="K154" s="398"/>
      <c r="L154" s="399"/>
      <c r="M154" s="400"/>
      <c r="N154" s="400"/>
      <c r="O154" s="400"/>
      <c r="P154" s="398"/>
    </row>
    <row r="155" spans="1:16" ht="22.5">
      <c r="A155" s="347">
        <f t="shared" si="2"/>
        <v>13</v>
      </c>
      <c r="B155" s="343" t="s">
        <v>336</v>
      </c>
      <c r="C155" s="396" t="s">
        <v>475</v>
      </c>
      <c r="D155" s="397" t="s">
        <v>1</v>
      </c>
      <c r="E155" s="395">
        <v>3</v>
      </c>
      <c r="F155" s="349"/>
      <c r="G155" s="344"/>
      <c r="H155" s="344"/>
      <c r="I155" s="344"/>
      <c r="J155" s="344"/>
      <c r="K155" s="398"/>
      <c r="L155" s="399"/>
      <c r="M155" s="400"/>
      <c r="N155" s="400"/>
      <c r="O155" s="400"/>
      <c r="P155" s="398"/>
    </row>
    <row r="156" spans="1:16" ht="11.25">
      <c r="A156" s="347">
        <f t="shared" si="2"/>
        <v>14</v>
      </c>
      <c r="B156" s="343" t="s">
        <v>336</v>
      </c>
      <c r="C156" s="404" t="s">
        <v>476</v>
      </c>
      <c r="D156" s="397" t="s">
        <v>1</v>
      </c>
      <c r="E156" s="395">
        <v>45</v>
      </c>
      <c r="F156" s="349"/>
      <c r="G156" s="344"/>
      <c r="H156" s="344"/>
      <c r="I156" s="344"/>
      <c r="J156" s="344"/>
      <c r="K156" s="398"/>
      <c r="L156" s="399"/>
      <c r="M156" s="400"/>
      <c r="N156" s="400"/>
      <c r="O156" s="400"/>
      <c r="P156" s="398"/>
    </row>
    <row r="157" spans="1:16" ht="11.25">
      <c r="A157" s="347">
        <f t="shared" si="2"/>
        <v>15</v>
      </c>
      <c r="B157" s="343" t="s">
        <v>336</v>
      </c>
      <c r="C157" s="396" t="s">
        <v>245</v>
      </c>
      <c r="D157" s="397" t="s">
        <v>376</v>
      </c>
      <c r="E157" s="395">
        <v>1</v>
      </c>
      <c r="F157" s="349"/>
      <c r="G157" s="344"/>
      <c r="H157" s="344"/>
      <c r="I157" s="344"/>
      <c r="J157" s="344"/>
      <c r="K157" s="398"/>
      <c r="L157" s="399"/>
      <c r="M157" s="400"/>
      <c r="N157" s="400"/>
      <c r="O157" s="400"/>
      <c r="P157" s="398"/>
    </row>
    <row r="158" spans="1:16" ht="22.5">
      <c r="A158" s="347">
        <f t="shared" si="2"/>
        <v>16</v>
      </c>
      <c r="B158" s="343" t="s">
        <v>336</v>
      </c>
      <c r="C158" s="404" t="s">
        <v>434</v>
      </c>
      <c r="D158" s="397" t="s">
        <v>101</v>
      </c>
      <c r="E158" s="395">
        <v>75</v>
      </c>
      <c r="F158" s="349"/>
      <c r="G158" s="344"/>
      <c r="H158" s="344"/>
      <c r="I158" s="344"/>
      <c r="J158" s="344"/>
      <c r="K158" s="398"/>
      <c r="L158" s="399"/>
      <c r="M158" s="400"/>
      <c r="N158" s="400"/>
      <c r="O158" s="400"/>
      <c r="P158" s="398"/>
    </row>
    <row r="159" spans="1:16" ht="22.5">
      <c r="A159" s="347">
        <f t="shared" si="2"/>
        <v>17</v>
      </c>
      <c r="B159" s="343" t="s">
        <v>336</v>
      </c>
      <c r="C159" s="396" t="s">
        <v>477</v>
      </c>
      <c r="D159" s="397" t="s">
        <v>101</v>
      </c>
      <c r="E159" s="395">
        <v>35</v>
      </c>
      <c r="F159" s="349"/>
      <c r="G159" s="344"/>
      <c r="H159" s="344"/>
      <c r="I159" s="344"/>
      <c r="J159" s="344"/>
      <c r="K159" s="398"/>
      <c r="L159" s="399"/>
      <c r="M159" s="400"/>
      <c r="N159" s="400"/>
      <c r="O159" s="400"/>
      <c r="P159" s="398"/>
    </row>
    <row r="160" spans="1:16" ht="22.5">
      <c r="A160" s="347">
        <f t="shared" si="2"/>
        <v>18</v>
      </c>
      <c r="B160" s="343" t="s">
        <v>336</v>
      </c>
      <c r="C160" s="396" t="s">
        <v>478</v>
      </c>
      <c r="D160" s="397" t="s">
        <v>101</v>
      </c>
      <c r="E160" s="395">
        <v>40</v>
      </c>
      <c r="F160" s="349"/>
      <c r="G160" s="344"/>
      <c r="H160" s="344"/>
      <c r="I160" s="344"/>
      <c r="J160" s="344"/>
      <c r="K160" s="398"/>
      <c r="L160" s="399"/>
      <c r="M160" s="400"/>
      <c r="N160" s="400"/>
      <c r="O160" s="400"/>
      <c r="P160" s="398"/>
    </row>
    <row r="161" spans="1:16" ht="11.25">
      <c r="A161" s="347">
        <f t="shared" si="2"/>
        <v>19</v>
      </c>
      <c r="B161" s="343" t="s">
        <v>336</v>
      </c>
      <c r="C161" s="396" t="s">
        <v>436</v>
      </c>
      <c r="D161" s="397" t="s">
        <v>1</v>
      </c>
      <c r="E161" s="395">
        <v>3</v>
      </c>
      <c r="F161" s="349"/>
      <c r="G161" s="344"/>
      <c r="H161" s="344"/>
      <c r="I161" s="344"/>
      <c r="J161" s="344"/>
      <c r="K161" s="398"/>
      <c r="L161" s="399"/>
      <c r="M161" s="400"/>
      <c r="N161" s="400"/>
      <c r="O161" s="400"/>
      <c r="P161" s="398"/>
    </row>
    <row r="162" spans="1:16" ht="11.25">
      <c r="A162" s="347"/>
      <c r="B162" s="343"/>
      <c r="C162" s="408" t="s">
        <v>479</v>
      </c>
      <c r="D162" s="397"/>
      <c r="E162" s="395"/>
      <c r="F162" s="349"/>
      <c r="G162" s="344"/>
      <c r="H162" s="344"/>
      <c r="I162" s="344"/>
      <c r="J162" s="344"/>
      <c r="K162" s="398"/>
      <c r="L162" s="399"/>
      <c r="M162" s="400"/>
      <c r="N162" s="400"/>
      <c r="O162" s="400"/>
      <c r="P162" s="398"/>
    </row>
    <row r="163" spans="1:16" ht="11.25">
      <c r="A163" s="347">
        <f t="shared" si="2"/>
        <v>1</v>
      </c>
      <c r="B163" s="343" t="s">
        <v>336</v>
      </c>
      <c r="C163" s="396" t="s">
        <v>465</v>
      </c>
      <c r="D163" s="397" t="s">
        <v>101</v>
      </c>
      <c r="E163" s="395">
        <v>75</v>
      </c>
      <c r="F163" s="349"/>
      <c r="G163" s="344"/>
      <c r="H163" s="344"/>
      <c r="I163" s="344"/>
      <c r="J163" s="344"/>
      <c r="K163" s="398"/>
      <c r="L163" s="399"/>
      <c r="M163" s="400"/>
      <c r="N163" s="400"/>
      <c r="O163" s="400"/>
      <c r="P163" s="398"/>
    </row>
    <row r="164" spans="1:16" ht="11.25">
      <c r="A164" s="347">
        <f t="shared" si="2"/>
        <v>2</v>
      </c>
      <c r="B164" s="343" t="s">
        <v>336</v>
      </c>
      <c r="C164" s="396" t="s">
        <v>480</v>
      </c>
      <c r="D164" s="397" t="s">
        <v>101</v>
      </c>
      <c r="E164" s="395">
        <v>35</v>
      </c>
      <c r="F164" s="349"/>
      <c r="G164" s="344"/>
      <c r="H164" s="344"/>
      <c r="I164" s="344"/>
      <c r="J164" s="344"/>
      <c r="K164" s="398"/>
      <c r="L164" s="399"/>
      <c r="M164" s="400"/>
      <c r="N164" s="400"/>
      <c r="O164" s="400"/>
      <c r="P164" s="398"/>
    </row>
    <row r="165" spans="1:16" ht="11.25">
      <c r="A165" s="347">
        <f t="shared" si="2"/>
        <v>3</v>
      </c>
      <c r="B165" s="343" t="s">
        <v>336</v>
      </c>
      <c r="C165" s="396" t="s">
        <v>468</v>
      </c>
      <c r="D165" s="397" t="s">
        <v>101</v>
      </c>
      <c r="E165" s="395">
        <v>35</v>
      </c>
      <c r="F165" s="349"/>
      <c r="G165" s="344"/>
      <c r="H165" s="344"/>
      <c r="I165" s="344"/>
      <c r="J165" s="344"/>
      <c r="K165" s="398"/>
      <c r="L165" s="399"/>
      <c r="M165" s="400"/>
      <c r="N165" s="400"/>
      <c r="O165" s="400"/>
      <c r="P165" s="398"/>
    </row>
    <row r="166" spans="1:16" ht="11.25">
      <c r="A166" s="347">
        <f t="shared" si="2"/>
        <v>4</v>
      </c>
      <c r="B166" s="343" t="s">
        <v>336</v>
      </c>
      <c r="C166" s="396" t="s">
        <v>469</v>
      </c>
      <c r="D166" s="397" t="s">
        <v>1</v>
      </c>
      <c r="E166" s="395">
        <v>10</v>
      </c>
      <c r="F166" s="349"/>
      <c r="G166" s="344"/>
      <c r="H166" s="344"/>
      <c r="I166" s="344"/>
      <c r="J166" s="344"/>
      <c r="K166" s="398"/>
      <c r="L166" s="399"/>
      <c r="M166" s="400"/>
      <c r="N166" s="400"/>
      <c r="O166" s="400"/>
      <c r="P166" s="398"/>
    </row>
    <row r="167" spans="1:16" ht="11.25">
      <c r="A167" s="347">
        <f t="shared" si="2"/>
        <v>5</v>
      </c>
      <c r="B167" s="343" t="s">
        <v>336</v>
      </c>
      <c r="C167" s="396" t="s">
        <v>470</v>
      </c>
      <c r="D167" s="397" t="s">
        <v>1</v>
      </c>
      <c r="E167" s="395">
        <v>6</v>
      </c>
      <c r="F167" s="349"/>
      <c r="G167" s="344"/>
      <c r="H167" s="344"/>
      <c r="I167" s="344"/>
      <c r="J167" s="344"/>
      <c r="K167" s="398"/>
      <c r="L167" s="399"/>
      <c r="M167" s="400"/>
      <c r="N167" s="400"/>
      <c r="O167" s="400"/>
      <c r="P167" s="398"/>
    </row>
    <row r="168" spans="1:16" ht="11.25">
      <c r="A168" s="347">
        <f t="shared" si="2"/>
        <v>6</v>
      </c>
      <c r="B168" s="343" t="s">
        <v>336</v>
      </c>
      <c r="C168" s="404" t="s">
        <v>471</v>
      </c>
      <c r="D168" s="397" t="s">
        <v>1</v>
      </c>
      <c r="E168" s="395">
        <v>40</v>
      </c>
      <c r="F168" s="349"/>
      <c r="G168" s="344"/>
      <c r="H168" s="344"/>
      <c r="I168" s="344"/>
      <c r="J168" s="344"/>
      <c r="K168" s="398"/>
      <c r="L168" s="399"/>
      <c r="M168" s="400"/>
      <c r="N168" s="400"/>
      <c r="O168" s="400"/>
      <c r="P168" s="398"/>
    </row>
    <row r="169" spans="1:16" ht="11.25">
      <c r="A169" s="347">
        <f t="shared" si="2"/>
        <v>7</v>
      </c>
      <c r="B169" s="343" t="s">
        <v>336</v>
      </c>
      <c r="C169" s="396" t="s">
        <v>481</v>
      </c>
      <c r="D169" s="397" t="s">
        <v>101</v>
      </c>
      <c r="E169" s="395">
        <v>40</v>
      </c>
      <c r="F169" s="349"/>
      <c r="G169" s="344"/>
      <c r="H169" s="344"/>
      <c r="I169" s="344"/>
      <c r="J169" s="344"/>
      <c r="K169" s="398"/>
      <c r="L169" s="399"/>
      <c r="M169" s="400"/>
      <c r="N169" s="400"/>
      <c r="O169" s="400"/>
      <c r="P169" s="398"/>
    </row>
    <row r="170" spans="1:16" ht="11.25">
      <c r="A170" s="347">
        <f t="shared" si="2"/>
        <v>8</v>
      </c>
      <c r="B170" s="343" t="s">
        <v>336</v>
      </c>
      <c r="C170" s="396" t="s">
        <v>473</v>
      </c>
      <c r="D170" s="397" t="s">
        <v>101</v>
      </c>
      <c r="E170" s="395">
        <v>40</v>
      </c>
      <c r="F170" s="349"/>
      <c r="G170" s="344"/>
      <c r="H170" s="344"/>
      <c r="I170" s="344"/>
      <c r="J170" s="344"/>
      <c r="K170" s="398"/>
      <c r="L170" s="399"/>
      <c r="M170" s="400"/>
      <c r="N170" s="400"/>
      <c r="O170" s="400"/>
      <c r="P170" s="398"/>
    </row>
    <row r="171" spans="1:16" ht="11.25">
      <c r="A171" s="347">
        <f t="shared" si="2"/>
        <v>9</v>
      </c>
      <c r="B171" s="343" t="s">
        <v>336</v>
      </c>
      <c r="C171" s="396" t="s">
        <v>469</v>
      </c>
      <c r="D171" s="397" t="s">
        <v>1</v>
      </c>
      <c r="E171" s="395">
        <v>12</v>
      </c>
      <c r="F171" s="349"/>
      <c r="G171" s="344"/>
      <c r="H171" s="344"/>
      <c r="I171" s="344"/>
      <c r="J171" s="344"/>
      <c r="K171" s="398"/>
      <c r="L171" s="399"/>
      <c r="M171" s="400"/>
      <c r="N171" s="400"/>
      <c r="O171" s="400"/>
      <c r="P171" s="398"/>
    </row>
    <row r="172" spans="1:16" ht="11.25">
      <c r="A172" s="347">
        <f t="shared" si="2"/>
        <v>10</v>
      </c>
      <c r="B172" s="343" t="s">
        <v>336</v>
      </c>
      <c r="C172" s="396" t="s">
        <v>470</v>
      </c>
      <c r="D172" s="397" t="s">
        <v>1</v>
      </c>
      <c r="E172" s="395">
        <v>20</v>
      </c>
      <c r="F172" s="349"/>
      <c r="G172" s="344"/>
      <c r="H172" s="344"/>
      <c r="I172" s="344"/>
      <c r="J172" s="344"/>
      <c r="K172" s="398"/>
      <c r="L172" s="399"/>
      <c r="M172" s="400"/>
      <c r="N172" s="400"/>
      <c r="O172" s="400"/>
      <c r="P172" s="398"/>
    </row>
    <row r="173" spans="1:16" ht="22.5">
      <c r="A173" s="347">
        <f t="shared" si="2"/>
        <v>11</v>
      </c>
      <c r="B173" s="343" t="s">
        <v>336</v>
      </c>
      <c r="C173" s="396" t="s">
        <v>474</v>
      </c>
      <c r="D173" s="397" t="s">
        <v>1</v>
      </c>
      <c r="E173" s="395">
        <v>6</v>
      </c>
      <c r="F173" s="349"/>
      <c r="G173" s="344"/>
      <c r="H173" s="344"/>
      <c r="I173" s="344"/>
      <c r="J173" s="344"/>
      <c r="K173" s="398"/>
      <c r="L173" s="399"/>
      <c r="M173" s="400"/>
      <c r="N173" s="400"/>
      <c r="O173" s="400"/>
      <c r="P173" s="398"/>
    </row>
    <row r="174" spans="1:16" ht="22.5">
      <c r="A174" s="347">
        <f t="shared" si="2"/>
        <v>12</v>
      </c>
      <c r="B174" s="343" t="s">
        <v>336</v>
      </c>
      <c r="C174" s="396" t="s">
        <v>475</v>
      </c>
      <c r="D174" s="397" t="s">
        <v>1</v>
      </c>
      <c r="E174" s="395">
        <v>3</v>
      </c>
      <c r="F174" s="349"/>
      <c r="G174" s="344"/>
      <c r="H174" s="344"/>
      <c r="I174" s="344"/>
      <c r="J174" s="344"/>
      <c r="K174" s="398"/>
      <c r="L174" s="399"/>
      <c r="M174" s="400"/>
      <c r="N174" s="400"/>
      <c r="O174" s="400"/>
      <c r="P174" s="398"/>
    </row>
    <row r="175" spans="1:16" ht="11.25">
      <c r="A175" s="347">
        <f t="shared" si="2"/>
        <v>13</v>
      </c>
      <c r="B175" s="343" t="s">
        <v>336</v>
      </c>
      <c r="C175" s="404" t="s">
        <v>476</v>
      </c>
      <c r="D175" s="397" t="s">
        <v>1</v>
      </c>
      <c r="E175" s="395">
        <v>45</v>
      </c>
      <c r="F175" s="349"/>
      <c r="G175" s="344"/>
      <c r="H175" s="344"/>
      <c r="I175" s="344"/>
      <c r="J175" s="344"/>
      <c r="K175" s="398"/>
      <c r="L175" s="399"/>
      <c r="M175" s="400"/>
      <c r="N175" s="400"/>
      <c r="O175" s="400"/>
      <c r="P175" s="398"/>
    </row>
    <row r="176" spans="1:16" ht="11.25">
      <c r="A176" s="347">
        <f t="shared" si="2"/>
        <v>14</v>
      </c>
      <c r="B176" s="343" t="s">
        <v>336</v>
      </c>
      <c r="C176" s="396" t="s">
        <v>245</v>
      </c>
      <c r="D176" s="397" t="s">
        <v>376</v>
      </c>
      <c r="E176" s="395">
        <v>1</v>
      </c>
      <c r="F176" s="349"/>
      <c r="G176" s="344"/>
      <c r="H176" s="344"/>
      <c r="I176" s="344"/>
      <c r="J176" s="344"/>
      <c r="K176" s="398"/>
      <c r="L176" s="399"/>
      <c r="M176" s="400"/>
      <c r="N176" s="400"/>
      <c r="O176" s="400"/>
      <c r="P176" s="398"/>
    </row>
    <row r="177" spans="1:16" ht="22.5">
      <c r="A177" s="347">
        <f t="shared" si="2"/>
        <v>15</v>
      </c>
      <c r="B177" s="343" t="s">
        <v>336</v>
      </c>
      <c r="C177" s="396" t="s">
        <v>482</v>
      </c>
      <c r="D177" s="397" t="s">
        <v>101</v>
      </c>
      <c r="E177" s="395">
        <v>75</v>
      </c>
      <c r="F177" s="349"/>
      <c r="G177" s="344"/>
      <c r="H177" s="344"/>
      <c r="I177" s="344"/>
      <c r="J177" s="344"/>
      <c r="K177" s="398"/>
      <c r="L177" s="399"/>
      <c r="M177" s="400"/>
      <c r="N177" s="400"/>
      <c r="O177" s="400"/>
      <c r="P177" s="398"/>
    </row>
    <row r="178" spans="1:16" ht="11.25">
      <c r="A178" s="347">
        <f t="shared" si="2"/>
        <v>16</v>
      </c>
      <c r="B178" s="343" t="s">
        <v>336</v>
      </c>
      <c r="C178" s="396" t="s">
        <v>483</v>
      </c>
      <c r="D178" s="397" t="s">
        <v>101</v>
      </c>
      <c r="E178" s="395">
        <v>40</v>
      </c>
      <c r="F178" s="349"/>
      <c r="G178" s="344"/>
      <c r="H178" s="344"/>
      <c r="I178" s="344"/>
      <c r="J178" s="344"/>
      <c r="K178" s="398"/>
      <c r="L178" s="399"/>
      <c r="M178" s="400"/>
      <c r="N178" s="400"/>
      <c r="O178" s="400"/>
      <c r="P178" s="398"/>
    </row>
    <row r="179" spans="1:16" ht="11.25">
      <c r="A179" s="347">
        <f t="shared" si="2"/>
        <v>17</v>
      </c>
      <c r="B179" s="343" t="s">
        <v>336</v>
      </c>
      <c r="C179" s="396" t="s">
        <v>484</v>
      </c>
      <c r="D179" s="397" t="s">
        <v>101</v>
      </c>
      <c r="E179" s="395">
        <v>35</v>
      </c>
      <c r="F179" s="349"/>
      <c r="G179" s="344"/>
      <c r="H179" s="344"/>
      <c r="I179" s="344"/>
      <c r="J179" s="344"/>
      <c r="K179" s="398"/>
      <c r="L179" s="399"/>
      <c r="M179" s="400"/>
      <c r="N179" s="400"/>
      <c r="O179" s="400"/>
      <c r="P179" s="398"/>
    </row>
    <row r="180" spans="1:16" ht="11.25">
      <c r="A180" s="347">
        <f t="shared" si="2"/>
        <v>18</v>
      </c>
      <c r="B180" s="343" t="s">
        <v>336</v>
      </c>
      <c r="C180" s="396" t="s">
        <v>436</v>
      </c>
      <c r="D180" s="397" t="s">
        <v>1</v>
      </c>
      <c r="E180" s="395">
        <v>5</v>
      </c>
      <c r="F180" s="349"/>
      <c r="G180" s="344"/>
      <c r="H180" s="344"/>
      <c r="I180" s="344"/>
      <c r="J180" s="344"/>
      <c r="K180" s="398"/>
      <c r="L180" s="399"/>
      <c r="M180" s="400"/>
      <c r="N180" s="400"/>
      <c r="O180" s="400"/>
      <c r="P180" s="398"/>
    </row>
    <row r="181" spans="1:16" ht="11.25">
      <c r="A181" s="347"/>
      <c r="B181" s="343"/>
      <c r="C181" s="408" t="s">
        <v>485</v>
      </c>
      <c r="D181" s="397"/>
      <c r="E181" s="395"/>
      <c r="F181" s="349"/>
      <c r="G181" s="344"/>
      <c r="H181" s="344"/>
      <c r="I181" s="344"/>
      <c r="J181" s="344"/>
      <c r="K181" s="398"/>
      <c r="L181" s="399"/>
      <c r="M181" s="400"/>
      <c r="N181" s="400"/>
      <c r="O181" s="400"/>
      <c r="P181" s="398"/>
    </row>
    <row r="182" spans="1:16" ht="11.25">
      <c r="A182" s="347">
        <f t="shared" si="2"/>
        <v>1</v>
      </c>
      <c r="B182" s="343" t="s">
        <v>336</v>
      </c>
      <c r="C182" s="396" t="s">
        <v>465</v>
      </c>
      <c r="D182" s="397" t="s">
        <v>101</v>
      </c>
      <c r="E182" s="395">
        <v>75</v>
      </c>
      <c r="F182" s="349"/>
      <c r="G182" s="344"/>
      <c r="H182" s="344"/>
      <c r="I182" s="344"/>
      <c r="J182" s="344"/>
      <c r="K182" s="398"/>
      <c r="L182" s="399"/>
      <c r="M182" s="400"/>
      <c r="N182" s="400"/>
      <c r="O182" s="400"/>
      <c r="P182" s="398"/>
    </row>
    <row r="183" spans="1:16" ht="11.25">
      <c r="A183" s="347">
        <f t="shared" si="2"/>
        <v>2</v>
      </c>
      <c r="B183" s="343" t="s">
        <v>336</v>
      </c>
      <c r="C183" s="396" t="s">
        <v>481</v>
      </c>
      <c r="D183" s="397" t="s">
        <v>101</v>
      </c>
      <c r="E183" s="395">
        <v>75</v>
      </c>
      <c r="F183" s="349"/>
      <c r="G183" s="344"/>
      <c r="H183" s="344"/>
      <c r="I183" s="344"/>
      <c r="J183" s="344"/>
      <c r="K183" s="398"/>
      <c r="L183" s="399"/>
      <c r="M183" s="400"/>
      <c r="N183" s="400"/>
      <c r="O183" s="400"/>
      <c r="P183" s="398"/>
    </row>
    <row r="184" spans="1:16" ht="11.25">
      <c r="A184" s="347">
        <f t="shared" si="2"/>
        <v>3</v>
      </c>
      <c r="B184" s="343" t="s">
        <v>336</v>
      </c>
      <c r="C184" s="396" t="s">
        <v>473</v>
      </c>
      <c r="D184" s="397" t="s">
        <v>101</v>
      </c>
      <c r="E184" s="395">
        <v>40</v>
      </c>
      <c r="F184" s="349"/>
      <c r="G184" s="344"/>
      <c r="H184" s="344"/>
      <c r="I184" s="344"/>
      <c r="J184" s="344"/>
      <c r="K184" s="398"/>
      <c r="L184" s="399"/>
      <c r="M184" s="400"/>
      <c r="N184" s="400"/>
      <c r="O184" s="400"/>
      <c r="P184" s="398"/>
    </row>
    <row r="185" spans="1:16" ht="11.25">
      <c r="A185" s="347">
        <f t="shared" si="2"/>
        <v>4</v>
      </c>
      <c r="B185" s="343" t="s">
        <v>336</v>
      </c>
      <c r="C185" s="396" t="s">
        <v>469</v>
      </c>
      <c r="D185" s="397" t="s">
        <v>1</v>
      </c>
      <c r="E185" s="395">
        <v>24</v>
      </c>
      <c r="F185" s="349"/>
      <c r="G185" s="344"/>
      <c r="H185" s="344"/>
      <c r="I185" s="344"/>
      <c r="J185" s="344"/>
      <c r="K185" s="398"/>
      <c r="L185" s="399"/>
      <c r="M185" s="400"/>
      <c r="N185" s="400"/>
      <c r="O185" s="400"/>
      <c r="P185" s="398"/>
    </row>
    <row r="186" spans="1:16" ht="11.25">
      <c r="A186" s="347">
        <f t="shared" si="2"/>
        <v>5</v>
      </c>
      <c r="B186" s="343" t="s">
        <v>336</v>
      </c>
      <c r="C186" s="396" t="s">
        <v>470</v>
      </c>
      <c r="D186" s="397" t="s">
        <v>1</v>
      </c>
      <c r="E186" s="395">
        <v>35</v>
      </c>
      <c r="F186" s="349"/>
      <c r="G186" s="344"/>
      <c r="H186" s="344"/>
      <c r="I186" s="344"/>
      <c r="J186" s="344"/>
      <c r="K186" s="398"/>
      <c r="L186" s="399"/>
      <c r="M186" s="400"/>
      <c r="N186" s="400"/>
      <c r="O186" s="400"/>
      <c r="P186" s="398"/>
    </row>
    <row r="187" spans="1:16" ht="22.5">
      <c r="A187" s="347">
        <f t="shared" si="2"/>
        <v>6</v>
      </c>
      <c r="B187" s="343" t="s">
        <v>336</v>
      </c>
      <c r="C187" s="396" t="s">
        <v>474</v>
      </c>
      <c r="D187" s="397" t="s">
        <v>1</v>
      </c>
      <c r="E187" s="395">
        <v>6</v>
      </c>
      <c r="F187" s="349"/>
      <c r="G187" s="344"/>
      <c r="H187" s="344"/>
      <c r="I187" s="344"/>
      <c r="J187" s="344"/>
      <c r="K187" s="398"/>
      <c r="L187" s="399"/>
      <c r="M187" s="400"/>
      <c r="N187" s="400"/>
      <c r="O187" s="400"/>
      <c r="P187" s="398"/>
    </row>
    <row r="188" spans="1:16" ht="22.5">
      <c r="A188" s="347">
        <f t="shared" si="2"/>
        <v>7</v>
      </c>
      <c r="B188" s="343" t="s">
        <v>336</v>
      </c>
      <c r="C188" s="396" t="s">
        <v>475</v>
      </c>
      <c r="D188" s="397" t="s">
        <v>1</v>
      </c>
      <c r="E188" s="395">
        <v>3</v>
      </c>
      <c r="F188" s="349"/>
      <c r="G188" s="344"/>
      <c r="H188" s="344"/>
      <c r="I188" s="344"/>
      <c r="J188" s="344"/>
      <c r="K188" s="398"/>
      <c r="L188" s="399"/>
      <c r="M188" s="400"/>
      <c r="N188" s="400"/>
      <c r="O188" s="400"/>
      <c r="P188" s="398"/>
    </row>
    <row r="189" spans="1:16" ht="11.25">
      <c r="A189" s="347">
        <f t="shared" si="2"/>
        <v>8</v>
      </c>
      <c r="B189" s="343" t="s">
        <v>336</v>
      </c>
      <c r="C189" s="404" t="s">
        <v>476</v>
      </c>
      <c r="D189" s="397" t="s">
        <v>1</v>
      </c>
      <c r="E189" s="395">
        <v>80</v>
      </c>
      <c r="F189" s="349"/>
      <c r="G189" s="344"/>
      <c r="H189" s="344"/>
      <c r="I189" s="344"/>
      <c r="J189" s="344"/>
      <c r="K189" s="398"/>
      <c r="L189" s="399"/>
      <c r="M189" s="400"/>
      <c r="N189" s="400"/>
      <c r="O189" s="400"/>
      <c r="P189" s="398"/>
    </row>
    <row r="190" spans="1:16" ht="11.25">
      <c r="A190" s="347">
        <f t="shared" si="2"/>
        <v>9</v>
      </c>
      <c r="B190" s="343" t="s">
        <v>336</v>
      </c>
      <c r="C190" s="396" t="s">
        <v>245</v>
      </c>
      <c r="D190" s="397" t="s">
        <v>376</v>
      </c>
      <c r="E190" s="395">
        <v>1</v>
      </c>
      <c r="F190" s="349"/>
      <c r="G190" s="344"/>
      <c r="H190" s="344"/>
      <c r="I190" s="344"/>
      <c r="J190" s="344"/>
      <c r="K190" s="398"/>
      <c r="L190" s="399"/>
      <c r="M190" s="400"/>
      <c r="N190" s="400"/>
      <c r="O190" s="400"/>
      <c r="P190" s="398"/>
    </row>
    <row r="191" spans="1:16" ht="22.5">
      <c r="A191" s="347">
        <f t="shared" si="2"/>
        <v>10</v>
      </c>
      <c r="B191" s="343" t="s">
        <v>336</v>
      </c>
      <c r="C191" s="396" t="s">
        <v>486</v>
      </c>
      <c r="D191" s="397" t="s">
        <v>101</v>
      </c>
      <c r="E191" s="395">
        <v>75</v>
      </c>
      <c r="F191" s="349"/>
      <c r="G191" s="344"/>
      <c r="H191" s="344"/>
      <c r="I191" s="344"/>
      <c r="J191" s="344"/>
      <c r="K191" s="398"/>
      <c r="L191" s="399"/>
      <c r="M191" s="400"/>
      <c r="N191" s="400"/>
      <c r="O191" s="400"/>
      <c r="P191" s="398"/>
    </row>
    <row r="192" spans="1:16" ht="11.25">
      <c r="A192" s="347">
        <f t="shared" si="2"/>
        <v>11</v>
      </c>
      <c r="B192" s="343" t="s">
        <v>336</v>
      </c>
      <c r="C192" s="396" t="s">
        <v>483</v>
      </c>
      <c r="D192" s="397" t="s">
        <v>101</v>
      </c>
      <c r="E192" s="395">
        <v>75</v>
      </c>
      <c r="F192" s="349"/>
      <c r="G192" s="344"/>
      <c r="H192" s="344"/>
      <c r="I192" s="344"/>
      <c r="J192" s="344"/>
      <c r="K192" s="398"/>
      <c r="L192" s="399"/>
      <c r="M192" s="400"/>
      <c r="N192" s="400"/>
      <c r="O192" s="400"/>
      <c r="P192" s="398"/>
    </row>
    <row r="193" spans="1:16" ht="11.25">
      <c r="A193" s="347">
        <f t="shared" si="2"/>
        <v>12</v>
      </c>
      <c r="B193" s="343" t="s">
        <v>336</v>
      </c>
      <c r="C193" s="396" t="s">
        <v>436</v>
      </c>
      <c r="D193" s="397" t="s">
        <v>1</v>
      </c>
      <c r="E193" s="395">
        <v>5</v>
      </c>
      <c r="F193" s="349"/>
      <c r="G193" s="344"/>
      <c r="H193" s="344"/>
      <c r="I193" s="344"/>
      <c r="J193" s="344"/>
      <c r="K193" s="398"/>
      <c r="L193" s="399"/>
      <c r="M193" s="400"/>
      <c r="N193" s="400"/>
      <c r="O193" s="400"/>
      <c r="P193" s="398"/>
    </row>
    <row r="194" spans="1:16" ht="22.5">
      <c r="A194" s="347"/>
      <c r="B194" s="343"/>
      <c r="C194" s="408" t="s">
        <v>487</v>
      </c>
      <c r="D194" s="397"/>
      <c r="E194" s="395"/>
      <c r="F194" s="349"/>
      <c r="G194" s="344"/>
      <c r="H194" s="344"/>
      <c r="I194" s="344"/>
      <c r="J194" s="344"/>
      <c r="K194" s="398"/>
      <c r="L194" s="399"/>
      <c r="M194" s="400"/>
      <c r="N194" s="400"/>
      <c r="O194" s="400"/>
      <c r="P194" s="398"/>
    </row>
    <row r="195" spans="1:16" ht="11.25">
      <c r="A195" s="347">
        <f t="shared" si="2"/>
        <v>1</v>
      </c>
      <c r="B195" s="343" t="s">
        <v>336</v>
      </c>
      <c r="C195" s="421" t="s">
        <v>488</v>
      </c>
      <c r="D195" s="397"/>
      <c r="E195" s="395"/>
      <c r="F195" s="349"/>
      <c r="G195" s="344"/>
      <c r="H195" s="344"/>
      <c r="I195" s="344"/>
      <c r="J195" s="344"/>
      <c r="K195" s="398"/>
      <c r="L195" s="399"/>
      <c r="M195" s="400"/>
      <c r="N195" s="400"/>
      <c r="O195" s="400"/>
      <c r="P195" s="398"/>
    </row>
    <row r="196" spans="1:16" ht="11.25">
      <c r="A196" s="347">
        <f t="shared" si="2"/>
        <v>2</v>
      </c>
      <c r="B196" s="343" t="s">
        <v>336</v>
      </c>
      <c r="C196" s="396" t="s">
        <v>489</v>
      </c>
      <c r="D196" s="397" t="s">
        <v>1</v>
      </c>
      <c r="E196" s="420">
        <v>1</v>
      </c>
      <c r="F196" s="349"/>
      <c r="G196" s="344"/>
      <c r="H196" s="344"/>
      <c r="I196" s="344"/>
      <c r="J196" s="344"/>
      <c r="K196" s="398"/>
      <c r="L196" s="399"/>
      <c r="M196" s="400"/>
      <c r="N196" s="400"/>
      <c r="O196" s="400"/>
      <c r="P196" s="398"/>
    </row>
    <row r="197" spans="1:16" ht="22.5">
      <c r="A197" s="347">
        <f t="shared" si="2"/>
        <v>3</v>
      </c>
      <c r="B197" s="343" t="s">
        <v>336</v>
      </c>
      <c r="C197" s="396" t="s">
        <v>490</v>
      </c>
      <c r="D197" s="397" t="s">
        <v>1</v>
      </c>
      <c r="E197" s="420">
        <v>1</v>
      </c>
      <c r="F197" s="349"/>
      <c r="G197" s="344"/>
      <c r="H197" s="344"/>
      <c r="I197" s="344"/>
      <c r="J197" s="344"/>
      <c r="K197" s="398"/>
      <c r="L197" s="399"/>
      <c r="M197" s="400"/>
      <c r="N197" s="400"/>
      <c r="O197" s="400"/>
      <c r="P197" s="398"/>
    </row>
    <row r="198" spans="1:16" ht="11.25">
      <c r="A198" s="347"/>
      <c r="B198" s="343"/>
      <c r="C198" s="408" t="s">
        <v>491</v>
      </c>
      <c r="D198" s="397" t="s">
        <v>1</v>
      </c>
      <c r="E198" s="420">
        <v>1</v>
      </c>
      <c r="F198" s="349"/>
      <c r="G198" s="344"/>
      <c r="H198" s="344"/>
      <c r="I198" s="344"/>
      <c r="J198" s="344"/>
      <c r="K198" s="398"/>
      <c r="L198" s="399"/>
      <c r="M198" s="400"/>
      <c r="N198" s="400"/>
      <c r="O198" s="400"/>
      <c r="P198" s="398"/>
    </row>
    <row r="199" spans="1:16" ht="11.25">
      <c r="A199" s="347">
        <f t="shared" si="2"/>
        <v>1</v>
      </c>
      <c r="B199" s="343" t="s">
        <v>336</v>
      </c>
      <c r="C199" s="396" t="s">
        <v>492</v>
      </c>
      <c r="D199" s="397" t="s">
        <v>1</v>
      </c>
      <c r="E199" s="420">
        <v>1</v>
      </c>
      <c r="F199" s="349"/>
      <c r="G199" s="344"/>
      <c r="H199" s="344"/>
      <c r="I199" s="344"/>
      <c r="J199" s="344"/>
      <c r="K199" s="398"/>
      <c r="L199" s="399"/>
      <c r="M199" s="400"/>
      <c r="N199" s="400"/>
      <c r="O199" s="400"/>
      <c r="P199" s="398"/>
    </row>
    <row r="200" spans="1:16" ht="22.5">
      <c r="A200" s="347">
        <f t="shared" si="2"/>
        <v>2</v>
      </c>
      <c r="B200" s="343" t="s">
        <v>336</v>
      </c>
      <c r="C200" s="396" t="s">
        <v>493</v>
      </c>
      <c r="D200" s="397" t="s">
        <v>1</v>
      </c>
      <c r="E200" s="420">
        <v>1</v>
      </c>
      <c r="F200" s="349"/>
      <c r="G200" s="344"/>
      <c r="H200" s="344"/>
      <c r="I200" s="344"/>
      <c r="J200" s="344"/>
      <c r="K200" s="398"/>
      <c r="L200" s="399"/>
      <c r="M200" s="400"/>
      <c r="N200" s="400"/>
      <c r="O200" s="400"/>
      <c r="P200" s="398"/>
    </row>
    <row r="201" spans="1:16" ht="11.25">
      <c r="A201" s="347"/>
      <c r="B201" s="343"/>
      <c r="C201" s="408" t="s">
        <v>494</v>
      </c>
      <c r="D201" s="397"/>
      <c r="E201" s="420"/>
      <c r="F201" s="349"/>
      <c r="G201" s="344"/>
      <c r="H201" s="344"/>
      <c r="I201" s="344"/>
      <c r="J201" s="344"/>
      <c r="K201" s="398"/>
      <c r="L201" s="399"/>
      <c r="M201" s="400"/>
      <c r="N201" s="400"/>
      <c r="O201" s="400"/>
      <c r="P201" s="398"/>
    </row>
    <row r="202" spans="1:16" ht="45">
      <c r="A202" s="347">
        <f t="shared" si="2"/>
        <v>1</v>
      </c>
      <c r="B202" s="343" t="s">
        <v>336</v>
      </c>
      <c r="C202" s="396" t="s">
        <v>495</v>
      </c>
      <c r="D202" s="397" t="s">
        <v>376</v>
      </c>
      <c r="E202" s="420">
        <v>1</v>
      </c>
      <c r="F202" s="349"/>
      <c r="G202" s="344"/>
      <c r="H202" s="344"/>
      <c r="I202" s="344"/>
      <c r="J202" s="344"/>
      <c r="K202" s="398"/>
      <c r="L202" s="399"/>
      <c r="M202" s="400"/>
      <c r="N202" s="400"/>
      <c r="O202" s="400"/>
      <c r="P202" s="398"/>
    </row>
    <row r="203" spans="1:16" ht="11.25">
      <c r="A203" s="347">
        <f t="shared" si="2"/>
        <v>2</v>
      </c>
      <c r="B203" s="343" t="s">
        <v>336</v>
      </c>
      <c r="C203" s="396" t="s">
        <v>496</v>
      </c>
      <c r="D203" s="397" t="s">
        <v>1</v>
      </c>
      <c r="E203" s="420">
        <v>10</v>
      </c>
      <c r="F203" s="349"/>
      <c r="G203" s="344"/>
      <c r="H203" s="344"/>
      <c r="I203" s="344"/>
      <c r="J203" s="344"/>
      <c r="K203" s="398"/>
      <c r="L203" s="399"/>
      <c r="M203" s="400"/>
      <c r="N203" s="400"/>
      <c r="O203" s="400"/>
      <c r="P203" s="398"/>
    </row>
    <row r="204" spans="1:16" ht="11.25">
      <c r="A204" s="347">
        <f t="shared" si="2"/>
        <v>3</v>
      </c>
      <c r="B204" s="343" t="s">
        <v>336</v>
      </c>
      <c r="C204" s="396" t="s">
        <v>497</v>
      </c>
      <c r="D204" s="397" t="s">
        <v>1</v>
      </c>
      <c r="E204" s="420">
        <v>10</v>
      </c>
      <c r="F204" s="349"/>
      <c r="G204" s="344"/>
      <c r="H204" s="344"/>
      <c r="I204" s="344"/>
      <c r="J204" s="344"/>
      <c r="K204" s="398"/>
      <c r="L204" s="399"/>
      <c r="M204" s="400"/>
      <c r="N204" s="400"/>
      <c r="O204" s="400"/>
      <c r="P204" s="398"/>
    </row>
    <row r="205" spans="1:16" ht="22.5">
      <c r="A205" s="347">
        <f t="shared" si="2"/>
        <v>4</v>
      </c>
      <c r="B205" s="343" t="s">
        <v>336</v>
      </c>
      <c r="C205" s="396" t="s">
        <v>498</v>
      </c>
      <c r="D205" s="397" t="s">
        <v>376</v>
      </c>
      <c r="E205" s="420">
        <v>1</v>
      </c>
      <c r="F205" s="349"/>
      <c r="G205" s="344"/>
      <c r="H205" s="344"/>
      <c r="I205" s="344"/>
      <c r="J205" s="344"/>
      <c r="K205" s="398"/>
      <c r="L205" s="399"/>
      <c r="M205" s="400"/>
      <c r="N205" s="400"/>
      <c r="O205" s="400"/>
      <c r="P205" s="398"/>
    </row>
    <row r="206" spans="1:16" ht="11.25">
      <c r="A206" s="347"/>
      <c r="B206" s="343"/>
      <c r="C206" s="396"/>
      <c r="D206" s="397"/>
      <c r="E206" s="420"/>
      <c r="F206" s="349"/>
      <c r="G206" s="344"/>
      <c r="H206" s="344"/>
      <c r="I206" s="344"/>
      <c r="J206" s="344"/>
      <c r="K206" s="398"/>
      <c r="L206" s="399"/>
      <c r="M206" s="400"/>
      <c r="N206" s="400"/>
      <c r="O206" s="400"/>
      <c r="P206" s="398"/>
    </row>
    <row r="207" spans="1:16" ht="12" thickBot="1">
      <c r="A207" s="329"/>
      <c r="B207" s="330"/>
      <c r="C207" s="331"/>
      <c r="D207" s="332"/>
      <c r="E207" s="336"/>
      <c r="F207" s="337"/>
      <c r="G207" s="334"/>
      <c r="H207" s="334"/>
      <c r="I207" s="333"/>
      <c r="J207" s="334"/>
      <c r="K207" s="335"/>
      <c r="L207" s="422"/>
      <c r="M207" s="423"/>
      <c r="N207" s="424"/>
      <c r="O207" s="424"/>
      <c r="P207" s="425"/>
    </row>
    <row r="208" spans="1:16" ht="12" thickBot="1">
      <c r="A208" s="501" t="s">
        <v>5</v>
      </c>
      <c r="B208" s="502"/>
      <c r="C208" s="502"/>
      <c r="D208" s="502"/>
      <c r="E208" s="502"/>
      <c r="F208" s="502"/>
      <c r="G208" s="502"/>
      <c r="H208" s="502"/>
      <c r="I208" s="502"/>
      <c r="J208" s="502"/>
      <c r="K208" s="503"/>
      <c r="L208" s="426"/>
      <c r="M208" s="427"/>
      <c r="N208" s="427"/>
      <c r="O208" s="427"/>
      <c r="P208" s="428"/>
    </row>
    <row r="209" spans="1:16" ht="12" thickBot="1">
      <c r="A209" s="491" t="s">
        <v>506</v>
      </c>
      <c r="B209" s="492"/>
      <c r="C209" s="492"/>
      <c r="D209" s="492"/>
      <c r="E209" s="492"/>
      <c r="F209" s="492"/>
      <c r="G209" s="492"/>
      <c r="H209" s="492"/>
      <c r="I209" s="492"/>
      <c r="J209" s="492"/>
      <c r="K209" s="493"/>
      <c r="L209" s="429"/>
      <c r="M209" s="430"/>
      <c r="N209" s="430"/>
      <c r="O209" s="430"/>
      <c r="P209" s="431"/>
    </row>
    <row r="210" spans="1:16" ht="12" thickBot="1">
      <c r="A210" s="485" t="s">
        <v>5</v>
      </c>
      <c r="B210" s="486"/>
      <c r="C210" s="486"/>
      <c r="D210" s="486"/>
      <c r="E210" s="486"/>
      <c r="F210" s="486"/>
      <c r="G210" s="486"/>
      <c r="H210" s="486"/>
      <c r="I210" s="486"/>
      <c r="J210" s="486"/>
      <c r="K210" s="487"/>
      <c r="L210" s="432"/>
      <c r="M210" s="433"/>
      <c r="N210" s="433"/>
      <c r="O210" s="433"/>
      <c r="P210" s="434"/>
    </row>
    <row r="213" spans="1:8" ht="11.25">
      <c r="A213" s="305" t="s">
        <v>507</v>
      </c>
      <c r="B213" s="306"/>
      <c r="H213" s="305" t="s">
        <v>503</v>
      </c>
    </row>
    <row r="214" ht="11.25">
      <c r="F214" s="308"/>
    </row>
  </sheetData>
  <sheetProtection/>
  <mergeCells count="16">
    <mergeCell ref="A1:P1"/>
    <mergeCell ref="A2:P3"/>
    <mergeCell ref="A5:P5"/>
    <mergeCell ref="A6:P6"/>
    <mergeCell ref="L12:N12"/>
    <mergeCell ref="O12:P12"/>
    <mergeCell ref="L16:P16"/>
    <mergeCell ref="A208:K208"/>
    <mergeCell ref="A209:K209"/>
    <mergeCell ref="A210:K210"/>
    <mergeCell ref="A16:A17"/>
    <mergeCell ref="B16:B17"/>
    <mergeCell ref="C16:C17"/>
    <mergeCell ref="D16:D17"/>
    <mergeCell ref="E16:E17"/>
    <mergeCell ref="F16:K16"/>
  </mergeCells>
  <hyperlinks>
    <hyperlink ref="C25" r:id="rId1" display="javascript:Pop('268040');"/>
    <hyperlink ref="C27" r:id="rId2" display="javascript:Pop('231746');"/>
    <hyperlink ref="C28" r:id="rId3" display="javascript:Pop('230908');"/>
    <hyperlink ref="C36" r:id="rId4" display="javascript:Pop('230846');"/>
    <hyperlink ref="C37" r:id="rId5" display="javascript:Pop('235042');"/>
    <hyperlink ref="C38" r:id="rId6" display="javascript:Pop('235040');"/>
  </hyperlink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7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53"/>
  <sheetViews>
    <sheetView showZeros="0" zoomScale="92" zoomScaleNormal="92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518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'O1'!B23</f>
        <v>Logu un durvju nomaiņa (koplietošanas telpās)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2!A10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P49</f>
        <v>0</v>
      </c>
      <c r="P12" s="475"/>
    </row>
    <row r="13" spans="1:16" ht="14.25">
      <c r="A13" s="284" t="s">
        <v>514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11.25">
      <c r="A18" s="322"/>
      <c r="B18" s="324"/>
      <c r="C18" s="319" t="s">
        <v>214</v>
      </c>
      <c r="D18" s="321"/>
      <c r="E18" s="202"/>
      <c r="F18" s="322"/>
      <c r="G18" s="200"/>
      <c r="H18" s="200"/>
      <c r="I18" s="200"/>
      <c r="J18" s="200"/>
      <c r="K18" s="201"/>
      <c r="L18" s="204"/>
      <c r="M18" s="200"/>
      <c r="N18" s="200"/>
      <c r="O18" s="200"/>
      <c r="P18" s="201"/>
    </row>
    <row r="19" spans="1:16" ht="22.5">
      <c r="A19" s="241" t="s">
        <v>6</v>
      </c>
      <c r="B19" s="183" t="s">
        <v>115</v>
      </c>
      <c r="C19" s="357" t="s">
        <v>197</v>
      </c>
      <c r="D19" s="358" t="s">
        <v>102</v>
      </c>
      <c r="E19" s="359">
        <v>207.6</v>
      </c>
      <c r="F19" s="191"/>
      <c r="G19" s="130"/>
      <c r="H19" s="184"/>
      <c r="I19" s="184"/>
      <c r="J19" s="184"/>
      <c r="K19" s="185"/>
      <c r="L19" s="190"/>
      <c r="M19" s="184"/>
      <c r="N19" s="184"/>
      <c r="O19" s="184"/>
      <c r="P19" s="185"/>
    </row>
    <row r="20" spans="1:16" ht="57">
      <c r="A20" s="124">
        <v>2</v>
      </c>
      <c r="B20" s="133" t="s">
        <v>116</v>
      </c>
      <c r="C20" s="126" t="s">
        <v>265</v>
      </c>
      <c r="D20" s="127" t="s">
        <v>102</v>
      </c>
      <c r="E20" s="359">
        <v>207.6</v>
      </c>
      <c r="F20" s="129"/>
      <c r="G20" s="130"/>
      <c r="H20" s="130"/>
      <c r="I20" s="130"/>
      <c r="J20" s="130"/>
      <c r="K20" s="131"/>
      <c r="L20" s="132"/>
      <c r="M20" s="130"/>
      <c r="N20" s="130"/>
      <c r="O20" s="130"/>
      <c r="P20" s="131"/>
    </row>
    <row r="21" spans="1:16" ht="11.25">
      <c r="A21" s="124"/>
      <c r="B21" s="133"/>
      <c r="C21" s="134" t="s">
        <v>314</v>
      </c>
      <c r="D21" s="127" t="s">
        <v>103</v>
      </c>
      <c r="E21" s="128">
        <v>25</v>
      </c>
      <c r="F21" s="129"/>
      <c r="G21" s="130"/>
      <c r="H21" s="130"/>
      <c r="I21" s="130"/>
      <c r="J21" s="130"/>
      <c r="K21" s="131"/>
      <c r="L21" s="132"/>
      <c r="M21" s="130"/>
      <c r="N21" s="130"/>
      <c r="O21" s="130"/>
      <c r="P21" s="131"/>
    </row>
    <row r="22" spans="1:16" ht="11.25">
      <c r="A22" s="124"/>
      <c r="B22" s="133"/>
      <c r="C22" s="134" t="s">
        <v>315</v>
      </c>
      <c r="D22" s="127" t="s">
        <v>103</v>
      </c>
      <c r="E22" s="128">
        <v>32</v>
      </c>
      <c r="F22" s="129"/>
      <c r="G22" s="130"/>
      <c r="H22" s="130"/>
      <c r="I22" s="130"/>
      <c r="J22" s="130"/>
      <c r="K22" s="131"/>
      <c r="L22" s="132"/>
      <c r="M22" s="130"/>
      <c r="N22" s="130"/>
      <c r="O22" s="130"/>
      <c r="P22" s="131"/>
    </row>
    <row r="23" spans="1:16" ht="22.5">
      <c r="A23" s="124"/>
      <c r="B23" s="133"/>
      <c r="C23" s="192" t="s">
        <v>316</v>
      </c>
      <c r="D23" s="127" t="s">
        <v>103</v>
      </c>
      <c r="E23" s="128">
        <v>15</v>
      </c>
      <c r="F23" s="129"/>
      <c r="G23" s="130"/>
      <c r="H23" s="130"/>
      <c r="I23" s="130"/>
      <c r="J23" s="130"/>
      <c r="K23" s="131"/>
      <c r="L23" s="132"/>
      <c r="M23" s="130"/>
      <c r="N23" s="130"/>
      <c r="O23" s="130"/>
      <c r="P23" s="131"/>
    </row>
    <row r="24" spans="1:16" ht="11.25">
      <c r="A24" s="124"/>
      <c r="B24" s="133"/>
      <c r="C24" s="134" t="s">
        <v>117</v>
      </c>
      <c r="D24" s="127" t="s">
        <v>1</v>
      </c>
      <c r="E24" s="128">
        <f>SUM(E21:E23)*10</f>
        <v>720</v>
      </c>
      <c r="F24" s="129"/>
      <c r="G24" s="130"/>
      <c r="H24" s="130"/>
      <c r="I24" s="130"/>
      <c r="J24" s="130"/>
      <c r="K24" s="131"/>
      <c r="L24" s="132"/>
      <c r="M24" s="130"/>
      <c r="N24" s="130"/>
      <c r="O24" s="130"/>
      <c r="P24" s="131"/>
    </row>
    <row r="25" spans="1:16" ht="11.25">
      <c r="A25" s="124"/>
      <c r="B25" s="133"/>
      <c r="C25" s="134" t="s">
        <v>118</v>
      </c>
      <c r="D25" s="127" t="s">
        <v>1</v>
      </c>
      <c r="E25" s="128">
        <f>E20*0.33</f>
        <v>68.508</v>
      </c>
      <c r="F25" s="129"/>
      <c r="G25" s="130"/>
      <c r="H25" s="130"/>
      <c r="I25" s="130"/>
      <c r="J25" s="130"/>
      <c r="K25" s="131"/>
      <c r="L25" s="132"/>
      <c r="M25" s="130"/>
      <c r="N25" s="130"/>
      <c r="O25" s="130"/>
      <c r="P25" s="131"/>
    </row>
    <row r="26" spans="1:16" ht="22.5">
      <c r="A26" s="124">
        <v>3</v>
      </c>
      <c r="B26" s="133" t="s">
        <v>119</v>
      </c>
      <c r="C26" s="126" t="s">
        <v>120</v>
      </c>
      <c r="D26" s="127" t="s">
        <v>2</v>
      </c>
      <c r="E26" s="128">
        <v>154.4</v>
      </c>
      <c r="F26" s="129"/>
      <c r="G26" s="130"/>
      <c r="H26" s="130"/>
      <c r="I26" s="130"/>
      <c r="J26" s="130"/>
      <c r="K26" s="131"/>
      <c r="L26" s="132"/>
      <c r="M26" s="130"/>
      <c r="N26" s="130"/>
      <c r="O26" s="130"/>
      <c r="P26" s="131"/>
    </row>
    <row r="27" spans="1:16" ht="11.25">
      <c r="A27" s="124"/>
      <c r="B27" s="133"/>
      <c r="C27" s="134" t="s">
        <v>215</v>
      </c>
      <c r="D27" s="127" t="s">
        <v>2</v>
      </c>
      <c r="E27" s="128">
        <f>E26</f>
        <v>154.4</v>
      </c>
      <c r="F27" s="129"/>
      <c r="G27" s="130"/>
      <c r="H27" s="130"/>
      <c r="I27" s="130"/>
      <c r="J27" s="130"/>
      <c r="K27" s="131"/>
      <c r="L27" s="132"/>
      <c r="M27" s="130"/>
      <c r="N27" s="130"/>
      <c r="O27" s="130"/>
      <c r="P27" s="131"/>
    </row>
    <row r="28" spans="1:16" ht="11.25">
      <c r="A28" s="124"/>
      <c r="B28" s="133"/>
      <c r="C28" s="134" t="s">
        <v>121</v>
      </c>
      <c r="D28" s="127" t="s">
        <v>103</v>
      </c>
      <c r="E28" s="128">
        <f>E26</f>
        <v>154.4</v>
      </c>
      <c r="F28" s="129"/>
      <c r="G28" s="130"/>
      <c r="H28" s="130"/>
      <c r="I28" s="130"/>
      <c r="J28" s="130"/>
      <c r="K28" s="131"/>
      <c r="L28" s="132"/>
      <c r="M28" s="130"/>
      <c r="N28" s="130"/>
      <c r="O28" s="130"/>
      <c r="P28" s="131"/>
    </row>
    <row r="29" spans="1:16" ht="11.25">
      <c r="A29" s="124"/>
      <c r="B29" s="133"/>
      <c r="C29" s="134" t="s">
        <v>118</v>
      </c>
      <c r="D29" s="127" t="s">
        <v>1</v>
      </c>
      <c r="E29" s="128">
        <f>E26*0.2</f>
        <v>30.880000000000003</v>
      </c>
      <c r="F29" s="129"/>
      <c r="G29" s="130"/>
      <c r="H29" s="130"/>
      <c r="I29" s="130"/>
      <c r="J29" s="130"/>
      <c r="K29" s="131"/>
      <c r="L29" s="132"/>
      <c r="M29" s="130"/>
      <c r="N29" s="130"/>
      <c r="O29" s="130"/>
      <c r="P29" s="131"/>
    </row>
    <row r="30" spans="1:16" ht="22.5">
      <c r="A30" s="174">
        <v>6</v>
      </c>
      <c r="B30" s="361" t="s">
        <v>122</v>
      </c>
      <c r="C30" s="362" t="s">
        <v>123</v>
      </c>
      <c r="D30" s="193" t="s">
        <v>101</v>
      </c>
      <c r="E30" s="203">
        <v>150.8</v>
      </c>
      <c r="F30" s="177"/>
      <c r="G30" s="130"/>
      <c r="H30" s="121"/>
      <c r="I30" s="121"/>
      <c r="J30" s="118"/>
      <c r="K30" s="175"/>
      <c r="L30" s="176"/>
      <c r="M30" s="121"/>
      <c r="N30" s="121"/>
      <c r="O30" s="121"/>
      <c r="P30" s="175"/>
    </row>
    <row r="31" spans="1:16" ht="22.5">
      <c r="A31" s="174"/>
      <c r="B31" s="119"/>
      <c r="C31" s="195" t="s">
        <v>124</v>
      </c>
      <c r="D31" s="193" t="s">
        <v>103</v>
      </c>
      <c r="E31" s="203">
        <f>E30*1.1/2.5</f>
        <v>66.352</v>
      </c>
      <c r="F31" s="177"/>
      <c r="G31" s="121"/>
      <c r="H31" s="121"/>
      <c r="I31" s="194"/>
      <c r="J31" s="118"/>
      <c r="K31" s="175"/>
      <c r="L31" s="176"/>
      <c r="M31" s="121"/>
      <c r="N31" s="121"/>
      <c r="O31" s="121"/>
      <c r="P31" s="175"/>
    </row>
    <row r="32" spans="1:16" ht="11.25">
      <c r="A32" s="174"/>
      <c r="B32" s="119"/>
      <c r="C32" s="196" t="s">
        <v>125</v>
      </c>
      <c r="D32" s="193" t="s">
        <v>103</v>
      </c>
      <c r="E32" s="203">
        <f>(E30*0.2*4)/25</f>
        <v>4.8256000000000006</v>
      </c>
      <c r="F32" s="177"/>
      <c r="G32" s="121"/>
      <c r="H32" s="121"/>
      <c r="I32" s="194"/>
      <c r="J32" s="118"/>
      <c r="K32" s="175"/>
      <c r="L32" s="176"/>
      <c r="M32" s="121"/>
      <c r="N32" s="121"/>
      <c r="O32" s="121"/>
      <c r="P32" s="175"/>
    </row>
    <row r="33" spans="1:16" ht="11.25">
      <c r="A33" s="124"/>
      <c r="B33" s="133"/>
      <c r="C33" s="134" t="s">
        <v>126</v>
      </c>
      <c r="D33" s="127" t="s">
        <v>1</v>
      </c>
      <c r="E33" s="128">
        <f>1*E30*0.12/30</f>
        <v>0.6032</v>
      </c>
      <c r="F33" s="129"/>
      <c r="G33" s="130"/>
      <c r="H33" s="130"/>
      <c r="I33" s="130"/>
      <c r="J33" s="130"/>
      <c r="K33" s="131"/>
      <c r="L33" s="132"/>
      <c r="M33" s="130"/>
      <c r="N33" s="130"/>
      <c r="O33" s="130"/>
      <c r="P33" s="131"/>
    </row>
    <row r="34" spans="1:16" ht="11.25">
      <c r="A34" s="189"/>
      <c r="B34" s="197"/>
      <c r="C34" s="134" t="s">
        <v>127</v>
      </c>
      <c r="D34" s="127" t="s">
        <v>1</v>
      </c>
      <c r="E34" s="128">
        <f>1*E30*0.12/25</f>
        <v>0.72384</v>
      </c>
      <c r="F34" s="144"/>
      <c r="G34" s="118"/>
      <c r="H34" s="118"/>
      <c r="I34" s="130"/>
      <c r="J34" s="118"/>
      <c r="K34" s="145"/>
      <c r="L34" s="146"/>
      <c r="M34" s="118"/>
      <c r="N34" s="118"/>
      <c r="O34" s="118"/>
      <c r="P34" s="145"/>
    </row>
    <row r="35" spans="1:16" ht="22.5">
      <c r="A35" s="189"/>
      <c r="B35" s="197"/>
      <c r="C35" s="178" t="s">
        <v>128</v>
      </c>
      <c r="D35" s="127" t="s">
        <v>1</v>
      </c>
      <c r="E35" s="128">
        <f>0.5*E30*0.12/28</f>
        <v>0.3231428571428571</v>
      </c>
      <c r="F35" s="144"/>
      <c r="G35" s="118"/>
      <c r="H35" s="118"/>
      <c r="I35" s="130"/>
      <c r="J35" s="118"/>
      <c r="K35" s="145"/>
      <c r="L35" s="146"/>
      <c r="M35" s="118"/>
      <c r="N35" s="118"/>
      <c r="O35" s="118"/>
      <c r="P35" s="145"/>
    </row>
    <row r="36" spans="1:16" ht="11.25">
      <c r="A36" s="189"/>
      <c r="B36" s="197"/>
      <c r="C36" s="134" t="s">
        <v>129</v>
      </c>
      <c r="D36" s="127" t="s">
        <v>1</v>
      </c>
      <c r="E36" s="128">
        <f>0.15*E30*0.12/15</f>
        <v>0.18095999999999998</v>
      </c>
      <c r="F36" s="144"/>
      <c r="G36" s="118"/>
      <c r="H36" s="118"/>
      <c r="I36" s="130"/>
      <c r="J36" s="118"/>
      <c r="K36" s="145"/>
      <c r="L36" s="146"/>
      <c r="M36" s="118"/>
      <c r="N36" s="118"/>
      <c r="O36" s="118"/>
      <c r="P36" s="145"/>
    </row>
    <row r="37" spans="1:16" ht="11.25">
      <c r="A37" s="189"/>
      <c r="B37" s="197"/>
      <c r="C37" s="134" t="s">
        <v>130</v>
      </c>
      <c r="D37" s="127" t="s">
        <v>1</v>
      </c>
      <c r="E37" s="128">
        <f>E30*0.12*0.3/3</f>
        <v>1.8095999999999999</v>
      </c>
      <c r="F37" s="144"/>
      <c r="G37" s="118"/>
      <c r="H37" s="118"/>
      <c r="I37" s="130"/>
      <c r="J37" s="118"/>
      <c r="K37" s="145"/>
      <c r="L37" s="146"/>
      <c r="M37" s="118"/>
      <c r="N37" s="118"/>
      <c r="O37" s="118"/>
      <c r="P37" s="145"/>
    </row>
    <row r="38" spans="1:16" ht="11.25">
      <c r="A38" s="189"/>
      <c r="B38" s="197"/>
      <c r="C38" s="134" t="s">
        <v>131</v>
      </c>
      <c r="D38" s="127" t="s">
        <v>2</v>
      </c>
      <c r="E38" s="128">
        <f>0.015*E30*0.12</f>
        <v>0.27144</v>
      </c>
      <c r="F38" s="144"/>
      <c r="G38" s="118"/>
      <c r="H38" s="118"/>
      <c r="I38" s="130"/>
      <c r="J38" s="118"/>
      <c r="K38" s="145"/>
      <c r="L38" s="146"/>
      <c r="M38" s="118"/>
      <c r="N38" s="118"/>
      <c r="O38" s="118"/>
      <c r="P38" s="145"/>
    </row>
    <row r="39" spans="1:16" ht="22.5">
      <c r="A39" s="189"/>
      <c r="B39" s="197"/>
      <c r="C39" s="178" t="s">
        <v>132</v>
      </c>
      <c r="D39" s="127" t="s">
        <v>133</v>
      </c>
      <c r="E39" s="165">
        <f>0.05*E30*0.12</f>
        <v>0.9048</v>
      </c>
      <c r="F39" s="144"/>
      <c r="G39" s="118"/>
      <c r="H39" s="118"/>
      <c r="I39" s="130"/>
      <c r="J39" s="118"/>
      <c r="K39" s="145"/>
      <c r="L39" s="146"/>
      <c r="M39" s="118"/>
      <c r="N39" s="118"/>
      <c r="O39" s="118"/>
      <c r="P39" s="145"/>
    </row>
    <row r="40" spans="1:16" ht="11.25">
      <c r="A40" s="189"/>
      <c r="B40" s="197"/>
      <c r="C40" s="134" t="s">
        <v>134</v>
      </c>
      <c r="D40" s="127" t="s">
        <v>1</v>
      </c>
      <c r="E40" s="128">
        <f>E30*0.12*0.03</f>
        <v>0.54288</v>
      </c>
      <c r="F40" s="144"/>
      <c r="G40" s="118"/>
      <c r="H40" s="118"/>
      <c r="I40" s="130"/>
      <c r="J40" s="118"/>
      <c r="K40" s="145"/>
      <c r="L40" s="146"/>
      <c r="M40" s="118"/>
      <c r="N40" s="118"/>
      <c r="O40" s="118"/>
      <c r="P40" s="145"/>
    </row>
    <row r="41" spans="1:16" ht="22.5">
      <c r="A41" s="189"/>
      <c r="B41" s="197"/>
      <c r="C41" s="180" t="s">
        <v>135</v>
      </c>
      <c r="D41" s="198" t="s">
        <v>103</v>
      </c>
      <c r="E41" s="165">
        <f>0.15*E30*0.12/18</f>
        <v>0.1508</v>
      </c>
      <c r="F41" s="144"/>
      <c r="G41" s="118"/>
      <c r="H41" s="118"/>
      <c r="I41" s="130"/>
      <c r="J41" s="118"/>
      <c r="K41" s="145"/>
      <c r="L41" s="146"/>
      <c r="M41" s="118"/>
      <c r="N41" s="118"/>
      <c r="O41" s="118"/>
      <c r="P41" s="145"/>
    </row>
    <row r="42" spans="1:16" ht="11.25">
      <c r="A42" s="189"/>
      <c r="B42" s="197"/>
      <c r="C42" s="199" t="s">
        <v>136</v>
      </c>
      <c r="D42" s="127" t="s">
        <v>1</v>
      </c>
      <c r="E42" s="128">
        <f>0.2*E30*0.12/9</f>
        <v>0.40213333333333334</v>
      </c>
      <c r="F42" s="144"/>
      <c r="G42" s="118"/>
      <c r="H42" s="118"/>
      <c r="I42" s="130"/>
      <c r="J42" s="118"/>
      <c r="K42" s="145"/>
      <c r="L42" s="146"/>
      <c r="M42" s="118"/>
      <c r="N42" s="118"/>
      <c r="O42" s="118"/>
      <c r="P42" s="145"/>
    </row>
    <row r="43" spans="1:16" ht="11.25">
      <c r="A43" s="157" t="s">
        <v>33</v>
      </c>
      <c r="B43" s="133" t="s">
        <v>27</v>
      </c>
      <c r="C43" s="126" t="s">
        <v>108</v>
      </c>
      <c r="D43" s="127" t="s">
        <v>109</v>
      </c>
      <c r="E43" s="165">
        <v>3</v>
      </c>
      <c r="F43" s="129"/>
      <c r="G43" s="130"/>
      <c r="H43" s="130"/>
      <c r="I43" s="130"/>
      <c r="J43" s="130"/>
      <c r="K43" s="131"/>
      <c r="L43" s="132"/>
      <c r="M43" s="130"/>
      <c r="N43" s="130"/>
      <c r="O43" s="130"/>
      <c r="P43" s="131"/>
    </row>
    <row r="44" spans="1:16" ht="11.25">
      <c r="A44" s="157"/>
      <c r="B44" s="133"/>
      <c r="C44" s="134" t="s">
        <v>108</v>
      </c>
      <c r="D44" s="127" t="s">
        <v>109</v>
      </c>
      <c r="E44" s="128">
        <f>E43</f>
        <v>3</v>
      </c>
      <c r="F44" s="129"/>
      <c r="G44" s="130"/>
      <c r="H44" s="130"/>
      <c r="I44" s="130"/>
      <c r="J44" s="130"/>
      <c r="K44" s="131"/>
      <c r="L44" s="132"/>
      <c r="M44" s="130"/>
      <c r="N44" s="130"/>
      <c r="O44" s="130"/>
      <c r="P44" s="131"/>
    </row>
    <row r="45" spans="1:16" ht="22.5">
      <c r="A45" s="157" t="s">
        <v>166</v>
      </c>
      <c r="B45" s="133" t="s">
        <v>27</v>
      </c>
      <c r="C45" s="126" t="s">
        <v>110</v>
      </c>
      <c r="D45" s="127" t="s">
        <v>111</v>
      </c>
      <c r="E45" s="165">
        <v>15</v>
      </c>
      <c r="F45" s="129"/>
      <c r="G45" s="130"/>
      <c r="H45" s="130"/>
      <c r="I45" s="130"/>
      <c r="J45" s="130"/>
      <c r="K45" s="131"/>
      <c r="L45" s="132"/>
      <c r="M45" s="130"/>
      <c r="N45" s="130"/>
      <c r="O45" s="130"/>
      <c r="P45" s="131"/>
    </row>
    <row r="46" spans="1:16" ht="12" thickBot="1">
      <c r="A46" s="166"/>
      <c r="B46" s="181"/>
      <c r="C46" s="182" t="s">
        <v>112</v>
      </c>
      <c r="D46" s="169" t="s">
        <v>111</v>
      </c>
      <c r="E46" s="170">
        <f>E45</f>
        <v>15</v>
      </c>
      <c r="F46" s="171"/>
      <c r="G46" s="135"/>
      <c r="H46" s="135"/>
      <c r="I46" s="135"/>
      <c r="J46" s="135"/>
      <c r="K46" s="172"/>
      <c r="L46" s="173"/>
      <c r="M46" s="135"/>
      <c r="N46" s="135"/>
      <c r="O46" s="135"/>
      <c r="P46" s="172"/>
    </row>
    <row r="47" spans="1:16" ht="12" thickBot="1">
      <c r="A47" s="501" t="s">
        <v>5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3"/>
      <c r="L47" s="296"/>
      <c r="M47" s="297"/>
      <c r="N47" s="297"/>
      <c r="O47" s="297"/>
      <c r="P47" s="298"/>
    </row>
    <row r="48" spans="1:16" ht="12" thickBot="1">
      <c r="A48" s="491" t="s">
        <v>511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3"/>
      <c r="L48" s="299"/>
      <c r="M48" s="300"/>
      <c r="N48" s="300"/>
      <c r="O48" s="300"/>
      <c r="P48" s="301"/>
    </row>
    <row r="49" spans="1:16" ht="12" thickBot="1">
      <c r="A49" s="485" t="s">
        <v>5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7"/>
      <c r="L49" s="302"/>
      <c r="M49" s="303"/>
      <c r="N49" s="303"/>
      <c r="O49" s="303"/>
      <c r="P49" s="304"/>
    </row>
    <row r="52" spans="1:8" ht="11.25">
      <c r="A52" s="305" t="s">
        <v>507</v>
      </c>
      <c r="B52" s="306"/>
      <c r="H52" s="305" t="s">
        <v>503</v>
      </c>
    </row>
    <row r="53" ht="11.25">
      <c r="F53" s="308"/>
    </row>
  </sheetData>
  <sheetProtection/>
  <mergeCells count="16">
    <mergeCell ref="A1:P1"/>
    <mergeCell ref="A2:P3"/>
    <mergeCell ref="A5:P5"/>
    <mergeCell ref="A6:P6"/>
    <mergeCell ref="L12:N12"/>
    <mergeCell ref="O12:P12"/>
    <mergeCell ref="L16:P16"/>
    <mergeCell ref="A47:K47"/>
    <mergeCell ref="A48:K48"/>
    <mergeCell ref="A49:K49"/>
    <mergeCell ref="A16:A17"/>
    <mergeCell ref="B16:B17"/>
    <mergeCell ref="C16:C17"/>
    <mergeCell ref="D16:D17"/>
    <mergeCell ref="E16:E17"/>
    <mergeCell ref="F16:K16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9" sqref="A49:IV51"/>
    </sheetView>
  </sheetViews>
  <sheetFormatPr defaultColWidth="9.140625" defaultRowHeight="12.75"/>
  <cols>
    <col min="1" max="1" width="20.8515625" style="101" customWidth="1"/>
    <col min="2" max="4" width="9.140625" style="101" customWidth="1"/>
    <col min="5" max="5" width="7.7109375" style="101" customWidth="1"/>
    <col min="6" max="6" width="13.28125" style="101" customWidth="1"/>
    <col min="7" max="7" width="9.140625" style="101" customWidth="1"/>
    <col min="8" max="8" width="13.140625" style="101" bestFit="1" customWidth="1"/>
    <col min="9" max="9" width="8.7109375" style="101" bestFit="1" customWidth="1"/>
    <col min="10" max="16384" width="9.140625" style="101" customWidth="1"/>
  </cols>
  <sheetData>
    <row r="1" spans="1:9" ht="14.25">
      <c r="A1" s="98"/>
      <c r="B1" s="99"/>
      <c r="C1" s="99"/>
      <c r="D1" s="99"/>
      <c r="E1" s="99"/>
      <c r="F1" s="99"/>
      <c r="G1" s="99"/>
      <c r="H1" s="99"/>
      <c r="I1" s="99"/>
    </row>
    <row r="2" spans="1:9" ht="13.5" thickBot="1">
      <c r="A2" s="102" t="s">
        <v>91</v>
      </c>
      <c r="B2" s="100"/>
      <c r="C2" s="100"/>
      <c r="D2" s="100"/>
      <c r="E2" s="100"/>
      <c r="F2" s="100"/>
      <c r="G2" s="103"/>
      <c r="H2" s="103"/>
      <c r="I2" s="103"/>
    </row>
    <row r="3" spans="1:9" ht="25.5">
      <c r="A3" s="504" t="s">
        <v>92</v>
      </c>
      <c r="B3" s="104" t="s">
        <v>93</v>
      </c>
      <c r="C3" s="104" t="s">
        <v>94</v>
      </c>
      <c r="D3" s="104" t="s">
        <v>95</v>
      </c>
      <c r="E3" s="104" t="s">
        <v>96</v>
      </c>
      <c r="F3" s="105" t="s">
        <v>97</v>
      </c>
      <c r="G3" s="106" t="s">
        <v>98</v>
      </c>
      <c r="H3" s="106" t="s">
        <v>99</v>
      </c>
      <c r="I3" s="106" t="s">
        <v>100</v>
      </c>
    </row>
    <row r="4" spans="1:9" ht="12.75">
      <c r="A4" s="505"/>
      <c r="B4" s="107" t="s">
        <v>101</v>
      </c>
      <c r="C4" s="107" t="s">
        <v>101</v>
      </c>
      <c r="D4" s="107" t="s">
        <v>102</v>
      </c>
      <c r="E4" s="107" t="s">
        <v>103</v>
      </c>
      <c r="F4" s="107" t="s">
        <v>102</v>
      </c>
      <c r="G4" s="108" t="s">
        <v>101</v>
      </c>
      <c r="H4" s="108" t="s">
        <v>102</v>
      </c>
      <c r="I4" s="108" t="s">
        <v>101</v>
      </c>
    </row>
    <row r="5" spans="1:9" ht="12.75">
      <c r="A5" s="317" t="s">
        <v>212</v>
      </c>
      <c r="B5" s="317">
        <v>2.3</v>
      </c>
      <c r="C5" s="317">
        <v>1.4</v>
      </c>
      <c r="D5" s="317">
        <v>3.39</v>
      </c>
      <c r="E5" s="318">
        <v>52</v>
      </c>
      <c r="F5" s="317">
        <f>D5*E5</f>
        <v>176.28</v>
      </c>
      <c r="G5" s="317">
        <f>((C5*0)+(B5))*E5</f>
        <v>119.6</v>
      </c>
      <c r="H5" s="317">
        <f>SUM(((B5+C5)*0.3)*E5)</f>
        <v>57.71999999999999</v>
      </c>
      <c r="I5" s="317">
        <f>SUM((B5+0.2)*E5)</f>
        <v>130</v>
      </c>
    </row>
    <row r="6" spans="1:9" ht="12.75">
      <c r="A6" s="317" t="s">
        <v>213</v>
      </c>
      <c r="B6" s="317">
        <v>1.5</v>
      </c>
      <c r="C6" s="317">
        <v>1.4</v>
      </c>
      <c r="D6" s="317">
        <f>B6*C6</f>
        <v>2.0999999999999996</v>
      </c>
      <c r="E6" s="318">
        <v>55</v>
      </c>
      <c r="F6" s="317">
        <f>D6*E6</f>
        <v>115.49999999999999</v>
      </c>
      <c r="G6" s="317">
        <f>((C6*0)+(B6))*E6</f>
        <v>82.5</v>
      </c>
      <c r="H6" s="317">
        <f>SUM(((B6+C6)*0.3)*E6)</f>
        <v>47.85</v>
      </c>
      <c r="I6" s="317">
        <f>SUM((B6+0.2)*E6)</f>
        <v>93.5</v>
      </c>
    </row>
    <row r="7" spans="1:9" ht="12.75">
      <c r="A7" s="317" t="s">
        <v>285</v>
      </c>
      <c r="B7" s="317">
        <v>2.3</v>
      </c>
      <c r="C7" s="317">
        <v>1.4</v>
      </c>
      <c r="D7" s="317">
        <v>3.71</v>
      </c>
      <c r="E7" s="318">
        <v>20</v>
      </c>
      <c r="F7" s="317">
        <f>D7*E7</f>
        <v>74.2</v>
      </c>
      <c r="G7" s="317">
        <f>((C7*0)+(B7))*E7</f>
        <v>46</v>
      </c>
      <c r="H7" s="317">
        <f>SUM(((B7+C7)*0.3)*E7)</f>
        <v>22.199999999999996</v>
      </c>
      <c r="I7" s="317">
        <f>SUM((B7+0.2)*E7)</f>
        <v>50</v>
      </c>
    </row>
    <row r="8" spans="1:9" ht="12.75">
      <c r="A8" s="317" t="s">
        <v>286</v>
      </c>
      <c r="B8" s="317">
        <v>1.6</v>
      </c>
      <c r="C8" s="317">
        <v>0.9</v>
      </c>
      <c r="D8" s="317">
        <f>B8*C8</f>
        <v>1.4400000000000002</v>
      </c>
      <c r="E8" s="318">
        <v>36</v>
      </c>
      <c r="F8" s="317">
        <f>D8*E8</f>
        <v>51.84</v>
      </c>
      <c r="G8" s="317">
        <f>((C8*0)+(B8))*E8</f>
        <v>57.6</v>
      </c>
      <c r="H8" s="317">
        <f>SUM(((B8+C8)*0.3)*E8)</f>
        <v>27</v>
      </c>
      <c r="I8" s="317">
        <f>SUM((B8+0.2)*E8)</f>
        <v>64.8</v>
      </c>
    </row>
    <row r="9" spans="1:9" ht="12.75">
      <c r="A9" s="256"/>
      <c r="B9" s="256"/>
      <c r="C9" s="256"/>
      <c r="D9" s="256"/>
      <c r="E9" s="130"/>
      <c r="F9" s="256"/>
      <c r="G9" s="256"/>
      <c r="H9" s="256"/>
      <c r="I9" s="256"/>
    </row>
    <row r="10" spans="1:9" ht="13.5" thickBot="1">
      <c r="A10" s="109"/>
      <c r="B10" s="109"/>
      <c r="C10" s="109"/>
      <c r="D10" s="109"/>
      <c r="E10" s="110">
        <f>SUM(E5:E9)</f>
        <v>163</v>
      </c>
      <c r="F10" s="110">
        <f>SUM(F5:F9)</f>
        <v>417.81999999999994</v>
      </c>
      <c r="G10" s="110">
        <f>SUM(G5:G9)</f>
        <v>305.7</v>
      </c>
      <c r="H10" s="110">
        <f>SUM(H5:H9)</f>
        <v>154.76999999999998</v>
      </c>
      <c r="I10" s="110">
        <f>SUM(I5:I9)</f>
        <v>338.3</v>
      </c>
    </row>
    <row r="11" spans="1:9" ht="12.7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3.5" thickBot="1">
      <c r="A12" s="102" t="s">
        <v>104</v>
      </c>
      <c r="B12" s="100"/>
      <c r="C12" s="100"/>
      <c r="D12" s="100"/>
      <c r="E12" s="100"/>
      <c r="F12" s="100"/>
      <c r="G12" s="103"/>
      <c r="H12" s="103"/>
      <c r="I12" s="103"/>
    </row>
    <row r="13" spans="1:9" ht="25.5">
      <c r="A13" s="504" t="s">
        <v>92</v>
      </c>
      <c r="B13" s="104" t="s">
        <v>93</v>
      </c>
      <c r="C13" s="104" t="s">
        <v>94</v>
      </c>
      <c r="D13" s="104" t="s">
        <v>95</v>
      </c>
      <c r="E13" s="104" t="s">
        <v>96</v>
      </c>
      <c r="F13" s="105" t="s">
        <v>97</v>
      </c>
      <c r="G13" s="106" t="s">
        <v>98</v>
      </c>
      <c r="H13" s="106" t="s">
        <v>99</v>
      </c>
      <c r="I13" s="106" t="s">
        <v>100</v>
      </c>
    </row>
    <row r="14" spans="1:9" ht="12.75">
      <c r="A14" s="505"/>
      <c r="B14" s="107" t="s">
        <v>101</v>
      </c>
      <c r="C14" s="107" t="s">
        <v>101</v>
      </c>
      <c r="D14" s="107" t="s">
        <v>102</v>
      </c>
      <c r="E14" s="107" t="s">
        <v>103</v>
      </c>
      <c r="F14" s="107" t="s">
        <v>102</v>
      </c>
      <c r="G14" s="108" t="s">
        <v>101</v>
      </c>
      <c r="H14" s="108" t="s">
        <v>102</v>
      </c>
      <c r="I14" s="108" t="s">
        <v>101</v>
      </c>
    </row>
    <row r="15" spans="1:9" ht="12.75">
      <c r="A15" s="317" t="s">
        <v>267</v>
      </c>
      <c r="B15" s="317">
        <v>2.1</v>
      </c>
      <c r="C15" s="317">
        <v>2.2</v>
      </c>
      <c r="D15" s="317">
        <f>B15*C15</f>
        <v>4.620000000000001</v>
      </c>
      <c r="E15" s="317">
        <v>3</v>
      </c>
      <c r="F15" s="317">
        <f>D15*E15</f>
        <v>13.860000000000003</v>
      </c>
      <c r="G15" s="317">
        <f>((C15*2)+B15)*E15</f>
        <v>19.5</v>
      </c>
      <c r="H15" s="317">
        <f>SUM(((B15+C15+C15)*0.3)*E15)</f>
        <v>5.8500000000000005</v>
      </c>
      <c r="I15" s="317">
        <f>SUM((B15+0.5)*E15)</f>
        <v>7.800000000000001</v>
      </c>
    </row>
    <row r="16" spans="1:9" ht="12.75">
      <c r="A16" s="256"/>
      <c r="B16" s="256"/>
      <c r="C16" s="256"/>
      <c r="D16" s="256"/>
      <c r="E16" s="256"/>
      <c r="F16" s="256"/>
      <c r="G16" s="256"/>
      <c r="H16" s="256"/>
      <c r="I16" s="256"/>
    </row>
    <row r="17" spans="1:9" ht="13.5" thickBot="1">
      <c r="A17" s="109"/>
      <c r="B17" s="109"/>
      <c r="C17" s="109"/>
      <c r="D17" s="109"/>
      <c r="E17" s="110">
        <f>SUM(E15:E16)</f>
        <v>3</v>
      </c>
      <c r="F17" s="110">
        <f>SUM(F15:F16)</f>
        <v>13.860000000000003</v>
      </c>
      <c r="G17" s="110">
        <f>SUM(G15:G16)</f>
        <v>19.5</v>
      </c>
      <c r="H17" s="110">
        <f>SUM(H15:H16)</f>
        <v>5.8500000000000005</v>
      </c>
      <c r="I17" s="110">
        <f>SUM(I15:I16)</f>
        <v>7.800000000000001</v>
      </c>
    </row>
    <row r="18" spans="1:9" ht="12.75">
      <c r="A18" s="100"/>
      <c r="B18" s="100"/>
      <c r="C18" s="100"/>
      <c r="D18" s="100"/>
      <c r="E18" s="100"/>
      <c r="F18" s="100"/>
      <c r="G18" s="100"/>
      <c r="H18" s="100"/>
      <c r="I18" s="100"/>
    </row>
    <row r="24" spans="1:9" ht="13.5" thickBot="1">
      <c r="A24" s="102" t="s">
        <v>91</v>
      </c>
      <c r="B24" s="100"/>
      <c r="C24" s="100"/>
      <c r="D24" s="100"/>
      <c r="E24" s="100"/>
      <c r="F24" s="100"/>
      <c r="G24" s="103"/>
      <c r="H24" s="103"/>
      <c r="I24" s="103"/>
    </row>
    <row r="25" spans="1:9" ht="25.5">
      <c r="A25" s="504" t="s">
        <v>92</v>
      </c>
      <c r="B25" s="104" t="s">
        <v>93</v>
      </c>
      <c r="C25" s="104" t="s">
        <v>94</v>
      </c>
      <c r="D25" s="104" t="s">
        <v>95</v>
      </c>
      <c r="E25" s="104" t="s">
        <v>96</v>
      </c>
      <c r="F25" s="105" t="s">
        <v>97</v>
      </c>
      <c r="G25" s="106" t="s">
        <v>98</v>
      </c>
      <c r="H25" s="106" t="s">
        <v>99</v>
      </c>
      <c r="I25" s="106" t="s">
        <v>100</v>
      </c>
    </row>
    <row r="26" spans="1:9" ht="12.75">
      <c r="A26" s="505"/>
      <c r="B26" s="107" t="s">
        <v>101</v>
      </c>
      <c r="C26" s="107" t="s">
        <v>101</v>
      </c>
      <c r="D26" s="107" t="s">
        <v>102</v>
      </c>
      <c r="E26" s="107" t="s">
        <v>103</v>
      </c>
      <c r="F26" s="107" t="s">
        <v>102</v>
      </c>
      <c r="G26" s="108" t="s">
        <v>101</v>
      </c>
      <c r="H26" s="108" t="s">
        <v>102</v>
      </c>
      <c r="I26" s="108" t="s">
        <v>101</v>
      </c>
    </row>
    <row r="27" spans="1:9" ht="12.75">
      <c r="A27" s="317" t="s">
        <v>212</v>
      </c>
      <c r="B27" s="317">
        <v>2.3</v>
      </c>
      <c r="C27" s="317">
        <v>1.4</v>
      </c>
      <c r="D27" s="317">
        <v>3.39</v>
      </c>
      <c r="E27" s="318">
        <v>25</v>
      </c>
      <c r="F27" s="317">
        <f>D27*E27</f>
        <v>84.75</v>
      </c>
      <c r="G27" s="317">
        <f>((C27*2)+(B27*2))*E27</f>
        <v>185</v>
      </c>
      <c r="H27" s="317">
        <f>SUM(((B27+C27)*0.3)*E27)</f>
        <v>27.749999999999996</v>
      </c>
      <c r="I27" s="317">
        <f>SUM((B27+0.2)*E27)</f>
        <v>62.5</v>
      </c>
    </row>
    <row r="28" spans="1:9" ht="12.75">
      <c r="A28" s="317" t="s">
        <v>213</v>
      </c>
      <c r="B28" s="317">
        <v>1.5</v>
      </c>
      <c r="C28" s="317">
        <v>1.4</v>
      </c>
      <c r="D28" s="317">
        <f>B28*C28</f>
        <v>2.0999999999999996</v>
      </c>
      <c r="E28" s="318">
        <v>32</v>
      </c>
      <c r="F28" s="317">
        <f>D28*E28</f>
        <v>67.19999999999999</v>
      </c>
      <c r="G28" s="317">
        <f>((C28*2)+(B28*2))*E28</f>
        <v>185.6</v>
      </c>
      <c r="H28" s="317">
        <f>SUM(((B28+C28)*0.3)*E28)</f>
        <v>27.84</v>
      </c>
      <c r="I28" s="317">
        <f>SUM((B28+0.2)*E28)</f>
        <v>54.4</v>
      </c>
    </row>
    <row r="29" spans="1:9" ht="12.75">
      <c r="A29" s="317" t="s">
        <v>285</v>
      </c>
      <c r="B29" s="317">
        <v>2.3</v>
      </c>
      <c r="C29" s="317">
        <v>1.4</v>
      </c>
      <c r="D29" s="317">
        <v>3.71</v>
      </c>
      <c r="E29" s="318">
        <v>15</v>
      </c>
      <c r="F29" s="317">
        <f>D29*E29</f>
        <v>55.65</v>
      </c>
      <c r="G29" s="317">
        <f>((C29*2)+(B29*2))*E29</f>
        <v>110.99999999999999</v>
      </c>
      <c r="H29" s="317">
        <f>SUM(((B29+C29)*0.3)*E29)</f>
        <v>16.65</v>
      </c>
      <c r="I29" s="317">
        <f>SUM((B29+0.2)*E29)</f>
        <v>37.5</v>
      </c>
    </row>
    <row r="30" spans="1:9" ht="12.75">
      <c r="A30" s="317" t="s">
        <v>286</v>
      </c>
      <c r="B30" s="317">
        <v>1.6</v>
      </c>
      <c r="C30" s="317">
        <v>0.9</v>
      </c>
      <c r="D30" s="317">
        <f>B30*C30</f>
        <v>1.4400000000000002</v>
      </c>
      <c r="E30" s="318">
        <v>36</v>
      </c>
      <c r="F30" s="317">
        <f>D30*E30</f>
        <v>51.84</v>
      </c>
      <c r="G30" s="317">
        <f>((C30*2)+(B30*2))*E30</f>
        <v>180</v>
      </c>
      <c r="H30" s="317">
        <f>SUM(((B30+C30)*0.3)*E30)</f>
        <v>27</v>
      </c>
      <c r="I30" s="317">
        <f>SUM((B30+0.2)*E30)</f>
        <v>64.8</v>
      </c>
    </row>
    <row r="31" spans="1:9" ht="12.75">
      <c r="A31" s="256"/>
      <c r="B31" s="256"/>
      <c r="C31" s="256"/>
      <c r="D31" s="256"/>
      <c r="E31" s="130"/>
      <c r="F31" s="256"/>
      <c r="G31" s="256"/>
      <c r="H31" s="256"/>
      <c r="I31" s="256"/>
    </row>
    <row r="32" spans="1:9" ht="13.5" thickBot="1">
      <c r="A32" s="109"/>
      <c r="B32" s="109"/>
      <c r="C32" s="109"/>
      <c r="D32" s="109"/>
      <c r="E32" s="110">
        <f>SUM(E27:E31)</f>
        <v>108</v>
      </c>
      <c r="F32" s="110">
        <f>SUM(F27:F31)</f>
        <v>259.44</v>
      </c>
      <c r="G32" s="110">
        <f>SUM(G27:G31)</f>
        <v>661.6</v>
      </c>
      <c r="H32" s="110">
        <f>SUM(H27:H31)</f>
        <v>99.24</v>
      </c>
      <c r="I32" s="110">
        <f>SUM(I27:I31)</f>
        <v>219.2</v>
      </c>
    </row>
    <row r="33" spans="1:9" ht="12.75">
      <c r="A33" s="100"/>
      <c r="B33" s="100"/>
      <c r="C33" s="100"/>
      <c r="D33" s="100"/>
      <c r="E33" s="100"/>
      <c r="F33" s="100"/>
      <c r="G33" s="100"/>
      <c r="H33" s="100"/>
      <c r="I33" s="100"/>
    </row>
    <row r="34" spans="1:9" ht="13.5" thickBot="1">
      <c r="A34" s="102" t="s">
        <v>104</v>
      </c>
      <c r="B34" s="100"/>
      <c r="C34" s="100"/>
      <c r="D34" s="100"/>
      <c r="E34" s="100"/>
      <c r="F34" s="100"/>
      <c r="G34" s="103"/>
      <c r="H34" s="103"/>
      <c r="I34" s="103"/>
    </row>
    <row r="35" spans="1:9" ht="25.5">
      <c r="A35" s="504" t="s">
        <v>92</v>
      </c>
      <c r="B35" s="104" t="s">
        <v>93</v>
      </c>
      <c r="C35" s="104" t="s">
        <v>94</v>
      </c>
      <c r="D35" s="104" t="s">
        <v>95</v>
      </c>
      <c r="E35" s="104" t="s">
        <v>96</v>
      </c>
      <c r="F35" s="105" t="s">
        <v>97</v>
      </c>
      <c r="G35" s="106" t="s">
        <v>98</v>
      </c>
      <c r="H35" s="106" t="s">
        <v>99</v>
      </c>
      <c r="I35" s="106" t="s">
        <v>100</v>
      </c>
    </row>
    <row r="36" spans="1:9" ht="12.75">
      <c r="A36" s="505"/>
      <c r="B36" s="107" t="s">
        <v>101</v>
      </c>
      <c r="C36" s="107" t="s">
        <v>101</v>
      </c>
      <c r="D36" s="107" t="s">
        <v>102</v>
      </c>
      <c r="E36" s="107" t="s">
        <v>103</v>
      </c>
      <c r="F36" s="107" t="s">
        <v>102</v>
      </c>
      <c r="G36" s="108" t="s">
        <v>101</v>
      </c>
      <c r="H36" s="108" t="s">
        <v>102</v>
      </c>
      <c r="I36" s="108" t="s">
        <v>101</v>
      </c>
    </row>
    <row r="37" spans="1:9" ht="12.75">
      <c r="A37" s="317" t="s">
        <v>267</v>
      </c>
      <c r="B37" s="317">
        <v>2.1</v>
      </c>
      <c r="C37" s="317">
        <v>2.2</v>
      </c>
      <c r="D37" s="317">
        <f>B37*C37</f>
        <v>4.620000000000001</v>
      </c>
      <c r="E37" s="317">
        <v>3</v>
      </c>
      <c r="F37" s="317">
        <f>D37*E37</f>
        <v>13.860000000000003</v>
      </c>
      <c r="G37" s="317">
        <f>((C37*2)+B37)*E37</f>
        <v>19.5</v>
      </c>
      <c r="H37" s="317">
        <f>SUM(((B37+C37+C37)*0.3)*E37)</f>
        <v>5.8500000000000005</v>
      </c>
      <c r="I37" s="317">
        <f>SUM((B37+0.5)*E37)</f>
        <v>7.800000000000001</v>
      </c>
    </row>
    <row r="38" spans="1:9" ht="12.75">
      <c r="A38" s="256"/>
      <c r="B38" s="256"/>
      <c r="C38" s="256"/>
      <c r="D38" s="256"/>
      <c r="E38" s="256"/>
      <c r="F38" s="256"/>
      <c r="G38" s="256"/>
      <c r="H38" s="256"/>
      <c r="I38" s="256"/>
    </row>
    <row r="39" spans="1:9" ht="13.5" thickBot="1">
      <c r="A39" s="109"/>
      <c r="B39" s="109"/>
      <c r="C39" s="109"/>
      <c r="D39" s="109"/>
      <c r="E39" s="110">
        <f>SUM(E37:E38)</f>
        <v>3</v>
      </c>
      <c r="F39" s="110">
        <f>SUM(F37:F38)</f>
        <v>13.860000000000003</v>
      </c>
      <c r="G39" s="110">
        <f>SUM(G37:G38)</f>
        <v>19.5</v>
      </c>
      <c r="H39" s="110">
        <f>SUM(H37:H38)</f>
        <v>5.8500000000000005</v>
      </c>
      <c r="I39" s="110">
        <f>SUM(I37:I38)</f>
        <v>7.800000000000001</v>
      </c>
    </row>
    <row r="40" spans="1:9" ht="12.75">
      <c r="A40" s="100"/>
      <c r="B40" s="100"/>
      <c r="C40" s="100"/>
      <c r="D40" s="100"/>
      <c r="E40" s="100"/>
      <c r="F40" s="100"/>
      <c r="G40" s="100"/>
      <c r="H40" s="100"/>
      <c r="I40" s="100"/>
    </row>
    <row r="46" spans="1:9" ht="13.5" thickBot="1">
      <c r="A46" s="102" t="s">
        <v>91</v>
      </c>
      <c r="B46" s="100"/>
      <c r="C46" s="100"/>
      <c r="D46" s="100"/>
      <c r="E46" s="100"/>
      <c r="F46" s="100"/>
      <c r="G46" s="103"/>
      <c r="H46" s="103"/>
      <c r="I46" s="103"/>
    </row>
    <row r="47" spans="1:9" ht="25.5">
      <c r="A47" s="504" t="s">
        <v>92</v>
      </c>
      <c r="B47" s="104" t="s">
        <v>93</v>
      </c>
      <c r="C47" s="104" t="s">
        <v>94</v>
      </c>
      <c r="D47" s="104" t="s">
        <v>95</v>
      </c>
      <c r="E47" s="104" t="s">
        <v>96</v>
      </c>
      <c r="F47" s="105" t="s">
        <v>97</v>
      </c>
      <c r="G47" s="106" t="s">
        <v>98</v>
      </c>
      <c r="H47" s="106" t="s">
        <v>99</v>
      </c>
      <c r="I47" s="106" t="s">
        <v>100</v>
      </c>
    </row>
    <row r="48" spans="1:9" ht="12.75">
      <c r="A48" s="505"/>
      <c r="B48" s="107" t="s">
        <v>101</v>
      </c>
      <c r="C48" s="107" t="s">
        <v>101</v>
      </c>
      <c r="D48" s="107" t="s">
        <v>102</v>
      </c>
      <c r="E48" s="107" t="s">
        <v>103</v>
      </c>
      <c r="F48" s="107" t="s">
        <v>102</v>
      </c>
      <c r="G48" s="108" t="s">
        <v>101</v>
      </c>
      <c r="H48" s="108" t="s">
        <v>102</v>
      </c>
      <c r="I48" s="108" t="s">
        <v>101</v>
      </c>
    </row>
    <row r="49" spans="1:9" ht="12.75">
      <c r="A49" s="317" t="s">
        <v>286</v>
      </c>
      <c r="B49" s="317">
        <v>1.6</v>
      </c>
      <c r="C49" s="317">
        <v>0.9</v>
      </c>
      <c r="D49" s="317">
        <f>B49*C49</f>
        <v>1.4400000000000002</v>
      </c>
      <c r="E49" s="318">
        <v>36</v>
      </c>
      <c r="F49" s="317">
        <f>D49*E49</f>
        <v>51.84</v>
      </c>
      <c r="G49" s="317">
        <f>((C49*2)+(B49*2))*E49</f>
        <v>180</v>
      </c>
      <c r="H49" s="317">
        <f>SUM(((B49+C49)*0.3)*E49)</f>
        <v>27</v>
      </c>
      <c r="I49" s="317">
        <f>SUM((B49+0.2)*E49)</f>
        <v>64.8</v>
      </c>
    </row>
    <row r="50" spans="1:9" ht="12.75">
      <c r="A50" s="256"/>
      <c r="B50" s="256"/>
      <c r="C50" s="256"/>
      <c r="D50" s="256"/>
      <c r="E50" s="130"/>
      <c r="F50" s="256"/>
      <c r="G50" s="256"/>
      <c r="H50" s="256"/>
      <c r="I50" s="256"/>
    </row>
    <row r="51" spans="1:9" ht="13.5" thickBot="1">
      <c r="A51" s="109"/>
      <c r="B51" s="109"/>
      <c r="C51" s="109"/>
      <c r="D51" s="109"/>
      <c r="E51" s="110">
        <f>SUM(E49:E50)</f>
        <v>36</v>
      </c>
      <c r="F51" s="110">
        <f>SUM(F49:F50)</f>
        <v>51.84</v>
      </c>
      <c r="G51" s="110">
        <f>SUM(G49:G50)</f>
        <v>180</v>
      </c>
      <c r="H51" s="110">
        <f>SUM(H49:H50)</f>
        <v>27</v>
      </c>
      <c r="I51" s="110">
        <f>SUM(I49:I50)</f>
        <v>64.8</v>
      </c>
    </row>
    <row r="52" spans="1:9" ht="12.7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3.5" thickBot="1">
      <c r="A53" s="102" t="s">
        <v>104</v>
      </c>
      <c r="B53" s="100"/>
      <c r="C53" s="100"/>
      <c r="D53" s="100"/>
      <c r="E53" s="100"/>
      <c r="F53" s="100"/>
      <c r="G53" s="103"/>
      <c r="H53" s="103"/>
      <c r="I53" s="103"/>
    </row>
    <row r="54" spans="1:9" ht="25.5">
      <c r="A54" s="504" t="s">
        <v>92</v>
      </c>
      <c r="B54" s="104" t="s">
        <v>93</v>
      </c>
      <c r="C54" s="104" t="s">
        <v>94</v>
      </c>
      <c r="D54" s="104" t="s">
        <v>95</v>
      </c>
      <c r="E54" s="104" t="s">
        <v>96</v>
      </c>
      <c r="F54" s="105" t="s">
        <v>97</v>
      </c>
      <c r="G54" s="106" t="s">
        <v>98</v>
      </c>
      <c r="H54" s="106" t="s">
        <v>99</v>
      </c>
      <c r="I54" s="106" t="s">
        <v>100</v>
      </c>
    </row>
    <row r="55" spans="1:9" ht="12.75">
      <c r="A55" s="505"/>
      <c r="B55" s="107" t="s">
        <v>101</v>
      </c>
      <c r="C55" s="107" t="s">
        <v>101</v>
      </c>
      <c r="D55" s="107" t="s">
        <v>102</v>
      </c>
      <c r="E55" s="107" t="s">
        <v>103</v>
      </c>
      <c r="F55" s="107" t="s">
        <v>102</v>
      </c>
      <c r="G55" s="108" t="s">
        <v>101</v>
      </c>
      <c r="H55" s="108" t="s">
        <v>102</v>
      </c>
      <c r="I55" s="108" t="s">
        <v>101</v>
      </c>
    </row>
    <row r="56" spans="1:9" ht="12.75">
      <c r="A56" s="317" t="s">
        <v>267</v>
      </c>
      <c r="B56" s="317">
        <v>2.1</v>
      </c>
      <c r="C56" s="317">
        <v>2.2</v>
      </c>
      <c r="D56" s="317">
        <f>B56*C56</f>
        <v>4.620000000000001</v>
      </c>
      <c r="E56" s="317">
        <v>3</v>
      </c>
      <c r="F56" s="317">
        <f>D56*E56</f>
        <v>13.860000000000003</v>
      </c>
      <c r="G56" s="317">
        <f>((C56*2)+B56)*E56</f>
        <v>19.5</v>
      </c>
      <c r="H56" s="317">
        <f>SUM(((B56+C56+C56)*0.3)*E56)</f>
        <v>5.8500000000000005</v>
      </c>
      <c r="I56" s="317">
        <f>SUM((B56+0.5)*E56)</f>
        <v>7.800000000000001</v>
      </c>
    </row>
    <row r="57" spans="1:9" ht="12.75">
      <c r="A57" s="256"/>
      <c r="B57" s="256"/>
      <c r="C57" s="256"/>
      <c r="D57" s="256"/>
      <c r="E57" s="256"/>
      <c r="F57" s="256"/>
      <c r="G57" s="256"/>
      <c r="H57" s="256"/>
      <c r="I57" s="256"/>
    </row>
    <row r="58" spans="1:9" ht="13.5" thickBot="1">
      <c r="A58" s="109"/>
      <c r="B58" s="109"/>
      <c r="C58" s="109"/>
      <c r="D58" s="109"/>
      <c r="E58" s="110">
        <f>SUM(E56:E57)</f>
        <v>3</v>
      </c>
      <c r="F58" s="110">
        <f>SUM(F56:F57)</f>
        <v>13.860000000000003</v>
      </c>
      <c r="G58" s="110">
        <f>SUM(G56:G57)</f>
        <v>19.5</v>
      </c>
      <c r="H58" s="110">
        <f>SUM(H56:H57)</f>
        <v>5.8500000000000005</v>
      </c>
      <c r="I58" s="110">
        <f>SUM(I56:I57)</f>
        <v>7.800000000000001</v>
      </c>
    </row>
    <row r="59" spans="1:9" ht="12.75">
      <c r="A59" s="100"/>
      <c r="B59" s="100"/>
      <c r="C59" s="100"/>
      <c r="D59" s="100"/>
      <c r="E59" s="100"/>
      <c r="F59" s="100"/>
      <c r="G59" s="100"/>
      <c r="H59" s="100"/>
      <c r="I59" s="100"/>
    </row>
    <row r="64" spans="1:9" ht="13.5" thickBot="1">
      <c r="A64" s="102" t="s">
        <v>91</v>
      </c>
      <c r="B64" s="100"/>
      <c r="C64" s="100"/>
      <c r="D64" s="100"/>
      <c r="E64" s="100"/>
      <c r="F64" s="100"/>
      <c r="G64" s="103"/>
      <c r="H64" s="103"/>
      <c r="I64" s="103"/>
    </row>
    <row r="65" spans="1:9" ht="25.5">
      <c r="A65" s="504" t="s">
        <v>92</v>
      </c>
      <c r="B65" s="104" t="s">
        <v>93</v>
      </c>
      <c r="C65" s="104" t="s">
        <v>94</v>
      </c>
      <c r="D65" s="104" t="s">
        <v>95</v>
      </c>
      <c r="E65" s="104" t="s">
        <v>96</v>
      </c>
      <c r="F65" s="105" t="s">
        <v>97</v>
      </c>
      <c r="G65" s="106" t="s">
        <v>98</v>
      </c>
      <c r="H65" s="106" t="s">
        <v>99</v>
      </c>
      <c r="I65" s="106" t="s">
        <v>100</v>
      </c>
    </row>
    <row r="66" spans="1:9" ht="12.75">
      <c r="A66" s="505"/>
      <c r="B66" s="107" t="s">
        <v>101</v>
      </c>
      <c r="C66" s="107" t="s">
        <v>101</v>
      </c>
      <c r="D66" s="107" t="s">
        <v>102</v>
      </c>
      <c r="E66" s="107" t="s">
        <v>103</v>
      </c>
      <c r="F66" s="107" t="s">
        <v>102</v>
      </c>
      <c r="G66" s="108" t="s">
        <v>101</v>
      </c>
      <c r="H66" s="108" t="s">
        <v>102</v>
      </c>
      <c r="I66" s="108" t="s">
        <v>101</v>
      </c>
    </row>
    <row r="67" spans="1:9" ht="12.75">
      <c r="A67" s="317" t="s">
        <v>212</v>
      </c>
      <c r="B67" s="317">
        <v>2.3</v>
      </c>
      <c r="C67" s="317">
        <v>1.4</v>
      </c>
      <c r="D67" s="317">
        <v>3.39</v>
      </c>
      <c r="E67" s="318">
        <v>25</v>
      </c>
      <c r="F67" s="317">
        <f>D67*E67</f>
        <v>84.75</v>
      </c>
      <c r="G67" s="317">
        <f>((C67*2)+(B67*2))*E67</f>
        <v>185</v>
      </c>
      <c r="H67" s="317">
        <f>SUM(((B67+C67)*0.3)*E67)</f>
        <v>27.749999999999996</v>
      </c>
      <c r="I67" s="317">
        <f>SUM((B67+0.2)*E67)</f>
        <v>62.5</v>
      </c>
    </row>
    <row r="68" spans="1:9" ht="12.75">
      <c r="A68" s="317" t="s">
        <v>213</v>
      </c>
      <c r="B68" s="317">
        <v>1.5</v>
      </c>
      <c r="C68" s="317">
        <v>1.4</v>
      </c>
      <c r="D68" s="317">
        <f>B68*C68</f>
        <v>2.0999999999999996</v>
      </c>
      <c r="E68" s="318">
        <v>32</v>
      </c>
      <c r="F68" s="317">
        <f>D68*E68</f>
        <v>67.19999999999999</v>
      </c>
      <c r="G68" s="317">
        <f>((C68*2)+(B68*2))*E68</f>
        <v>185.6</v>
      </c>
      <c r="H68" s="317">
        <f>SUM(((B68+C68)*0.3)*E68)</f>
        <v>27.84</v>
      </c>
      <c r="I68" s="317">
        <f>SUM((B68+0.2)*E68)</f>
        <v>54.4</v>
      </c>
    </row>
    <row r="69" spans="1:9" ht="12.75">
      <c r="A69" s="317" t="s">
        <v>285</v>
      </c>
      <c r="B69" s="317">
        <v>2.3</v>
      </c>
      <c r="C69" s="317">
        <v>1.4</v>
      </c>
      <c r="D69" s="317">
        <v>3.71</v>
      </c>
      <c r="E69" s="318">
        <v>15</v>
      </c>
      <c r="F69" s="317">
        <f>D69*E69</f>
        <v>55.65</v>
      </c>
      <c r="G69" s="317">
        <f>((C69*2)+(B69*2))*E69</f>
        <v>110.99999999999999</v>
      </c>
      <c r="H69" s="317">
        <f>SUM(((B69+C69)*0.3)*E69)</f>
        <v>16.65</v>
      </c>
      <c r="I69" s="317">
        <f>SUM((B69+0.2)*E69)</f>
        <v>37.5</v>
      </c>
    </row>
    <row r="70" spans="1:9" ht="12.75">
      <c r="A70" s="256"/>
      <c r="B70" s="256"/>
      <c r="C70" s="256"/>
      <c r="D70" s="256"/>
      <c r="E70" s="130"/>
      <c r="F70" s="256"/>
      <c r="G70" s="256"/>
      <c r="H70" s="256"/>
      <c r="I70" s="256"/>
    </row>
    <row r="71" spans="1:9" ht="13.5" thickBot="1">
      <c r="A71" s="109"/>
      <c r="B71" s="109"/>
      <c r="C71" s="109"/>
      <c r="D71" s="109"/>
      <c r="E71" s="110">
        <f>SUM(E67:E70)</f>
        <v>72</v>
      </c>
      <c r="F71" s="110">
        <f>SUM(F67:F70)</f>
        <v>207.6</v>
      </c>
      <c r="G71" s="110">
        <f>SUM(G67:G70)</f>
        <v>481.6</v>
      </c>
      <c r="H71" s="110">
        <f>SUM(H67:H70)</f>
        <v>72.24</v>
      </c>
      <c r="I71" s="110">
        <f>SUM(I67:I70)</f>
        <v>154.4</v>
      </c>
    </row>
    <row r="72" spans="1:9" ht="12.75">
      <c r="A72" s="100"/>
      <c r="B72" s="100"/>
      <c r="C72" s="100"/>
      <c r="D72" s="100"/>
      <c r="E72" s="100"/>
      <c r="F72" s="100"/>
      <c r="G72" s="100"/>
      <c r="H72" s="100"/>
      <c r="I72" s="100"/>
    </row>
    <row r="73" spans="1:9" ht="13.5" thickBot="1">
      <c r="A73" s="102" t="s">
        <v>104</v>
      </c>
      <c r="B73" s="100"/>
      <c r="C73" s="100"/>
      <c r="D73" s="100"/>
      <c r="E73" s="100"/>
      <c r="F73" s="100"/>
      <c r="G73" s="103"/>
      <c r="H73" s="103"/>
      <c r="I73" s="103"/>
    </row>
    <row r="74" spans="1:9" ht="25.5">
      <c r="A74" s="504" t="s">
        <v>92</v>
      </c>
      <c r="B74" s="104" t="s">
        <v>93</v>
      </c>
      <c r="C74" s="104" t="s">
        <v>94</v>
      </c>
      <c r="D74" s="104" t="s">
        <v>95</v>
      </c>
      <c r="E74" s="104" t="s">
        <v>96</v>
      </c>
      <c r="F74" s="105" t="s">
        <v>97</v>
      </c>
      <c r="G74" s="106" t="s">
        <v>98</v>
      </c>
      <c r="H74" s="106" t="s">
        <v>99</v>
      </c>
      <c r="I74" s="106" t="s">
        <v>100</v>
      </c>
    </row>
    <row r="75" spans="1:9" ht="12.75">
      <c r="A75" s="505"/>
      <c r="B75" s="107" t="s">
        <v>101</v>
      </c>
      <c r="C75" s="107" t="s">
        <v>101</v>
      </c>
      <c r="D75" s="107" t="s">
        <v>102</v>
      </c>
      <c r="E75" s="107" t="s">
        <v>103</v>
      </c>
      <c r="F75" s="107" t="s">
        <v>102</v>
      </c>
      <c r="G75" s="108" t="s">
        <v>101</v>
      </c>
      <c r="H75" s="108" t="s">
        <v>102</v>
      </c>
      <c r="I75" s="108" t="s">
        <v>101</v>
      </c>
    </row>
    <row r="76" spans="1:9" ht="12.75">
      <c r="A76" s="256"/>
      <c r="B76" s="256"/>
      <c r="C76" s="256"/>
      <c r="D76" s="256"/>
      <c r="E76" s="256"/>
      <c r="F76" s="256"/>
      <c r="G76" s="256"/>
      <c r="H76" s="256"/>
      <c r="I76" s="256"/>
    </row>
    <row r="77" spans="1:9" ht="13.5" thickBot="1">
      <c r="A77" s="109"/>
      <c r="B77" s="109"/>
      <c r="C77" s="109"/>
      <c r="D77" s="109"/>
      <c r="E77" s="110">
        <f>SUM(E76:E76)</f>
        <v>0</v>
      </c>
      <c r="F77" s="110">
        <f>SUM(F76:F76)</f>
        <v>0</v>
      </c>
      <c r="G77" s="110">
        <f>SUM(G76:G76)</f>
        <v>0</v>
      </c>
      <c r="H77" s="110">
        <f>SUM(H76:H76)</f>
        <v>0</v>
      </c>
      <c r="I77" s="110">
        <f>SUM(I76:I76)</f>
        <v>0</v>
      </c>
    </row>
    <row r="78" spans="1:9" ht="12.75">
      <c r="A78" s="100"/>
      <c r="B78" s="100"/>
      <c r="C78" s="100"/>
      <c r="D78" s="100"/>
      <c r="E78" s="100"/>
      <c r="F78" s="100"/>
      <c r="G78" s="100"/>
      <c r="H78" s="100"/>
      <c r="I78" s="100"/>
    </row>
  </sheetData>
  <sheetProtection/>
  <mergeCells count="8">
    <mergeCell ref="A54:A55"/>
    <mergeCell ref="A65:A66"/>
    <mergeCell ref="A74:A75"/>
    <mergeCell ref="A35:A36"/>
    <mergeCell ref="A3:A4"/>
    <mergeCell ref="A13:A14"/>
    <mergeCell ref="A25:A26"/>
    <mergeCell ref="A47:A4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49" sqref="A49:IV51"/>
    </sheetView>
  </sheetViews>
  <sheetFormatPr defaultColWidth="9.140625" defaultRowHeight="12.75"/>
  <cols>
    <col min="1" max="1" width="78.421875" style="14" customWidth="1"/>
    <col min="2" max="2" width="12.421875" style="13" customWidth="1"/>
    <col min="3" max="3" width="6.00390625" style="13" customWidth="1"/>
    <col min="4" max="16384" width="9.140625" style="13" customWidth="1"/>
  </cols>
  <sheetData>
    <row r="1" spans="1:3" ht="12.75">
      <c r="A1" s="449" t="s">
        <v>198</v>
      </c>
      <c r="B1" s="449"/>
      <c r="C1" s="112"/>
    </row>
    <row r="2" spans="1:3" ht="12.75">
      <c r="A2" s="21"/>
      <c r="B2" s="21"/>
      <c r="C2" s="112"/>
    </row>
    <row r="3" spans="1:3" ht="12.75">
      <c r="A3" s="21"/>
      <c r="B3" s="21"/>
      <c r="C3" s="112"/>
    </row>
    <row r="4" spans="1:3" ht="13.5" thickBot="1">
      <c r="A4" s="21"/>
      <c r="B4" s="21"/>
      <c r="C4" s="112"/>
    </row>
    <row r="5" spans="1:2" ht="12.75">
      <c r="A5" s="113" t="s">
        <v>199</v>
      </c>
      <c r="B5" s="115">
        <v>3</v>
      </c>
    </row>
    <row r="6" spans="1:2" ht="12.75">
      <c r="A6" s="114" t="s">
        <v>200</v>
      </c>
      <c r="B6" s="116">
        <v>4</v>
      </c>
    </row>
    <row r="7" spans="1:2" ht="12.75">
      <c r="A7" s="114" t="s">
        <v>239</v>
      </c>
      <c r="B7" s="116">
        <v>5</v>
      </c>
    </row>
    <row r="8" spans="1:3" ht="12.75">
      <c r="A8" s="114" t="s">
        <v>201</v>
      </c>
      <c r="B8" s="116">
        <v>6</v>
      </c>
      <c r="C8" s="15"/>
    </row>
    <row r="9" spans="1:3" ht="12.75">
      <c r="A9" s="254" t="s">
        <v>202</v>
      </c>
      <c r="B9" s="255">
        <v>7</v>
      </c>
      <c r="C9" s="15"/>
    </row>
    <row r="10" spans="1:3" ht="12.75">
      <c r="A10" s="254" t="s">
        <v>204</v>
      </c>
      <c r="B10" s="255">
        <v>8</v>
      </c>
      <c r="C10" s="15"/>
    </row>
    <row r="11" spans="1:4" ht="12.75">
      <c r="A11" s="375" t="s">
        <v>205</v>
      </c>
      <c r="B11" s="255">
        <v>9</v>
      </c>
      <c r="D11" s="19"/>
    </row>
    <row r="12" spans="1:4" ht="12.75">
      <c r="A12" s="375" t="s">
        <v>206</v>
      </c>
      <c r="B12" s="116">
        <v>11</v>
      </c>
      <c r="D12" s="19"/>
    </row>
    <row r="13" spans="1:4" ht="12.75">
      <c r="A13" s="375" t="s">
        <v>207</v>
      </c>
      <c r="B13" s="116">
        <v>14</v>
      </c>
      <c r="D13" s="19"/>
    </row>
    <row r="14" spans="1:4" ht="12.75">
      <c r="A14" s="375" t="s">
        <v>208</v>
      </c>
      <c r="B14" s="116">
        <v>17</v>
      </c>
      <c r="D14" s="19"/>
    </row>
    <row r="15" spans="1:4" ht="12.75" customHeight="1">
      <c r="A15" s="375" t="s">
        <v>209</v>
      </c>
      <c r="B15" s="116">
        <v>19</v>
      </c>
      <c r="D15" s="14"/>
    </row>
    <row r="16" spans="1:2" ht="12.75">
      <c r="A16" s="375" t="s">
        <v>210</v>
      </c>
      <c r="B16" s="116">
        <v>21</v>
      </c>
    </row>
    <row r="17" spans="1:2" ht="13.5" thickBot="1">
      <c r="A17" s="376" t="s">
        <v>337</v>
      </c>
      <c r="B17" s="316">
        <v>25</v>
      </c>
    </row>
  </sheetData>
  <sheetProtection/>
  <mergeCells count="1">
    <mergeCell ref="A1:B1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zoomScalePageLayoutView="0" workbookViewId="0" topLeftCell="A19">
      <selection activeCell="A49" sqref="A49:IV51"/>
    </sheetView>
  </sheetViews>
  <sheetFormatPr defaultColWidth="9.140625" defaultRowHeight="12.75"/>
  <cols>
    <col min="1" max="1" width="25.8515625" style="14" customWidth="1"/>
    <col min="2" max="2" width="12.421875" style="13" customWidth="1"/>
    <col min="3" max="3" width="53.7109375" style="13" customWidth="1"/>
    <col min="4" max="16384" width="9.140625" style="13" customWidth="1"/>
  </cols>
  <sheetData>
    <row r="1" spans="1:3" ht="12.75">
      <c r="A1" s="449" t="s">
        <v>49</v>
      </c>
      <c r="B1" s="449"/>
      <c r="C1" s="449"/>
    </row>
    <row r="2" ht="12.75">
      <c r="A2" s="21"/>
    </row>
    <row r="3" ht="12.75">
      <c r="A3" s="26"/>
    </row>
    <row r="4" spans="1:3" ht="12.75">
      <c r="A4" s="453" t="s">
        <v>269</v>
      </c>
      <c r="B4" s="453"/>
      <c r="C4" s="453"/>
    </row>
    <row r="5" ht="12.75">
      <c r="A5" s="12"/>
    </row>
    <row r="6" spans="1:3" ht="12.75">
      <c r="A6" s="454" t="s">
        <v>237</v>
      </c>
      <c r="B6" s="454"/>
      <c r="C6" s="454"/>
    </row>
    <row r="7" ht="12.75">
      <c r="A7" s="27"/>
    </row>
    <row r="8" spans="1:3" ht="12.75">
      <c r="A8" s="454" t="s">
        <v>288</v>
      </c>
      <c r="B8" s="454"/>
      <c r="C8" s="454"/>
    </row>
    <row r="9" ht="12.75">
      <c r="A9" s="12"/>
    </row>
    <row r="10" spans="1:3" ht="43.5" customHeight="1">
      <c r="A10" s="455" t="s">
        <v>500</v>
      </c>
      <c r="B10" s="455"/>
      <c r="C10" s="455"/>
    </row>
    <row r="12" spans="1:3" ht="12.75">
      <c r="A12" s="452" t="s">
        <v>499</v>
      </c>
      <c r="B12" s="452"/>
      <c r="C12" s="452"/>
    </row>
    <row r="13" spans="1:3" ht="25.5" customHeight="1">
      <c r="A13" s="452"/>
      <c r="B13" s="452"/>
      <c r="C13" s="452"/>
    </row>
    <row r="14" spans="1:3" ht="25.5" customHeight="1">
      <c r="A14" s="452"/>
      <c r="B14" s="452"/>
      <c r="C14" s="452"/>
    </row>
    <row r="16" spans="1:3" ht="12.75">
      <c r="A16" s="14" t="s">
        <v>50</v>
      </c>
      <c r="B16" s="111">
        <f>K!D32</f>
        <v>0</v>
      </c>
      <c r="C16" s="28" t="s">
        <v>51</v>
      </c>
    </row>
    <row r="17" ht="12.75">
      <c r="B17" s="315"/>
    </row>
    <row r="18" spans="1:3" ht="12.75">
      <c r="A18" s="14" t="s">
        <v>52</v>
      </c>
      <c r="B18" s="111">
        <f>'O1'!C14</f>
        <v>0</v>
      </c>
      <c r="C18" s="28" t="s">
        <v>53</v>
      </c>
    </row>
    <row r="19" ht="12.75">
      <c r="B19" s="315"/>
    </row>
    <row r="20" spans="1:3" ht="12.75" customHeight="1">
      <c r="A20" s="29" t="s">
        <v>54</v>
      </c>
      <c r="B20" s="111"/>
      <c r="C20" s="28" t="s">
        <v>55</v>
      </c>
    </row>
    <row r="25" spans="1:3" ht="12.75">
      <c r="A25" s="451" t="s">
        <v>501</v>
      </c>
      <c r="B25" s="451"/>
      <c r="C25" s="451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1:3" ht="12.75">
      <c r="A30" s="451"/>
      <c r="B30" s="451"/>
      <c r="C30" s="451"/>
    </row>
    <row r="31" spans="1:3" ht="12.75">
      <c r="A31" s="22"/>
      <c r="B31" s="22"/>
      <c r="C31" s="22"/>
    </row>
    <row r="32" spans="1:3" ht="12.75">
      <c r="A32" s="22"/>
      <c r="B32" s="22"/>
      <c r="C32" s="22"/>
    </row>
    <row r="33" spans="1:3" ht="12.75">
      <c r="A33" s="22"/>
      <c r="B33" s="22"/>
      <c r="C33" s="22"/>
    </row>
    <row r="35" ht="12.75">
      <c r="A35" s="14" t="s">
        <v>56</v>
      </c>
    </row>
    <row r="36" spans="1:3" ht="12.75">
      <c r="A36" s="450" t="s">
        <v>57</v>
      </c>
      <c r="B36" s="450"/>
      <c r="C36" s="450"/>
    </row>
    <row r="37" spans="1:3" ht="12.75">
      <c r="A37" s="450" t="s">
        <v>58</v>
      </c>
      <c r="B37" s="450"/>
      <c r="C37" s="450"/>
    </row>
    <row r="38" spans="1:3" ht="12.75">
      <c r="A38" s="450" t="s">
        <v>59</v>
      </c>
      <c r="B38" s="450"/>
      <c r="C38" s="450"/>
    </row>
    <row r="39" spans="1:3" ht="12.75">
      <c r="A39" s="30"/>
      <c r="B39" s="30"/>
      <c r="C39" s="30"/>
    </row>
    <row r="40" spans="1:3" ht="12.75">
      <c r="A40" s="30"/>
      <c r="B40" s="30"/>
      <c r="C40" s="30"/>
    </row>
    <row r="41" spans="1:3" ht="12.75">
      <c r="A41" s="30"/>
      <c r="B41" s="30"/>
      <c r="C41" s="30"/>
    </row>
    <row r="42" spans="1:4" ht="12.75" customHeight="1">
      <c r="A42" s="13"/>
      <c r="D42" s="14"/>
    </row>
    <row r="43" spans="1:4" ht="12.75">
      <c r="A43" s="13"/>
      <c r="D43" s="19"/>
    </row>
    <row r="44" spans="1:4" ht="12.75">
      <c r="A44" s="13"/>
      <c r="D44" s="19"/>
    </row>
    <row r="45" spans="1:4" ht="12.75">
      <c r="A45" s="13"/>
      <c r="D45" s="19"/>
    </row>
    <row r="46" spans="1:4" ht="12.75">
      <c r="A46" s="13"/>
      <c r="D46" s="19"/>
    </row>
    <row r="47" spans="1:4" ht="12.75" customHeight="1">
      <c r="A47" s="13"/>
      <c r="D47" s="14"/>
    </row>
  </sheetData>
  <sheetProtection/>
  <mergeCells count="13">
    <mergeCell ref="A12:C12"/>
    <mergeCell ref="A13:C13"/>
    <mergeCell ref="A14:C14"/>
    <mergeCell ref="A1:C1"/>
    <mergeCell ref="A4:C4"/>
    <mergeCell ref="A6:C6"/>
    <mergeCell ref="A8:C8"/>
    <mergeCell ref="A10:C10"/>
    <mergeCell ref="A38:C38"/>
    <mergeCell ref="A25:C25"/>
    <mergeCell ref="A30:C30"/>
    <mergeCell ref="A36:C36"/>
    <mergeCell ref="A37:C37"/>
  </mergeCells>
  <printOptions horizontalCentered="1"/>
  <pageMargins left="0.7874015748031497" right="0.3937007874015748" top="0.7874015748031497" bottom="0.787401574803149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A49" sqref="A49:IV51"/>
    </sheetView>
  </sheetViews>
  <sheetFormatPr defaultColWidth="9.140625" defaultRowHeight="12.75"/>
  <cols>
    <col min="1" max="1" width="8.140625" style="55" customWidth="1"/>
    <col min="2" max="2" width="53.28125" style="62" customWidth="1"/>
    <col min="3" max="3" width="12.28125" style="62" customWidth="1"/>
    <col min="4" max="4" width="16.140625" style="63" customWidth="1"/>
    <col min="5" max="5" width="10.140625" style="47" bestFit="1" customWidth="1"/>
    <col min="6" max="6" width="9.57421875" style="47" bestFit="1" customWidth="1"/>
    <col min="7" max="16384" width="9.140625" style="47" customWidth="1"/>
  </cols>
  <sheetData>
    <row r="1" spans="1:4" ht="12.75">
      <c r="A1" s="27"/>
      <c r="B1" s="65"/>
      <c r="C1" s="65"/>
      <c r="D1" s="66" t="s">
        <v>68</v>
      </c>
    </row>
    <row r="2" spans="1:4" ht="12.75">
      <c r="A2" s="67"/>
      <c r="B2" s="68"/>
      <c r="C2" s="68"/>
      <c r="D2" s="69" t="s">
        <v>34</v>
      </c>
    </row>
    <row r="3" spans="1:4" ht="12.75">
      <c r="A3" s="67"/>
      <c r="B3" s="68"/>
      <c r="C3" s="68"/>
      <c r="D3" s="69"/>
    </row>
    <row r="4" spans="1:4" ht="12.75">
      <c r="A4" s="67"/>
      <c r="B4" s="68"/>
      <c r="C4" s="68"/>
      <c r="D4" s="69"/>
    </row>
    <row r="5" spans="1:4" ht="15">
      <c r="A5" s="67"/>
      <c r="B5" s="69" t="s">
        <v>35</v>
      </c>
      <c r="C5" s="68"/>
      <c r="D5" s="35"/>
    </row>
    <row r="6" spans="1:4" ht="12.75">
      <c r="A6" s="67"/>
      <c r="B6" s="68"/>
      <c r="C6" s="68"/>
      <c r="D6" s="69" t="s">
        <v>502</v>
      </c>
    </row>
    <row r="8" spans="1:8" s="32" customFormat="1" ht="15">
      <c r="A8" s="456"/>
      <c r="B8" s="456"/>
      <c r="C8" s="456"/>
      <c r="D8" s="456"/>
      <c r="E8" s="70"/>
      <c r="F8" s="70"/>
      <c r="G8" s="70"/>
      <c r="H8" s="70"/>
    </row>
    <row r="9" spans="1:8" s="32" customFormat="1" ht="25.5" customHeight="1">
      <c r="A9" s="457"/>
      <c r="B9" s="457"/>
      <c r="C9" s="457"/>
      <c r="D9" s="457"/>
      <c r="E9" s="34"/>
      <c r="F9" s="34"/>
      <c r="G9" s="34"/>
      <c r="H9" s="34"/>
    </row>
    <row r="10" spans="1:8" s="32" customFormat="1" ht="25.5" customHeight="1">
      <c r="A10" s="33"/>
      <c r="B10" s="33"/>
      <c r="C10" s="33"/>
      <c r="D10" s="33"/>
      <c r="E10" s="34"/>
      <c r="F10" s="34"/>
      <c r="G10" s="34"/>
      <c r="H10" s="34"/>
    </row>
    <row r="11" spans="1:4" s="32" customFormat="1" ht="18" customHeight="1">
      <c r="A11" s="35"/>
      <c r="B11" s="36"/>
      <c r="C11" s="36"/>
      <c r="D11" s="31"/>
    </row>
    <row r="12" spans="1:4" s="32" customFormat="1" ht="15">
      <c r="A12" s="458" t="s">
        <v>36</v>
      </c>
      <c r="B12" s="458"/>
      <c r="C12" s="458"/>
      <c r="D12" s="458"/>
    </row>
    <row r="13" spans="1:4" s="32" customFormat="1" ht="18" customHeight="1">
      <c r="A13" s="71"/>
      <c r="B13" s="71"/>
      <c r="C13" s="71"/>
      <c r="D13" s="71"/>
    </row>
    <row r="14" spans="1:4" s="32" customFormat="1" ht="18">
      <c r="A14" s="37"/>
      <c r="B14" s="38"/>
      <c r="C14" s="38"/>
      <c r="D14" s="39"/>
    </row>
    <row r="15" spans="1:4" s="73" customFormat="1" ht="15">
      <c r="A15" s="72" t="s">
        <v>234</v>
      </c>
      <c r="B15" s="72"/>
      <c r="C15" s="72"/>
      <c r="D15" s="72"/>
    </row>
    <row r="16" spans="1:4" s="32" customFormat="1" ht="15">
      <c r="A16" s="74" t="s">
        <v>289</v>
      </c>
      <c r="B16" s="4"/>
      <c r="C16" s="4"/>
      <c r="D16" s="3"/>
    </row>
    <row r="17" spans="1:4" s="32" customFormat="1" ht="18" customHeight="1" thickBot="1">
      <c r="A17" s="75"/>
      <c r="B17" s="2"/>
      <c r="C17" s="2"/>
      <c r="D17" s="3"/>
    </row>
    <row r="18" spans="1:4" ht="12.75" customHeight="1">
      <c r="A18" s="459" t="s">
        <v>69</v>
      </c>
      <c r="B18" s="461" t="s">
        <v>70</v>
      </c>
      <c r="C18" s="461" t="s">
        <v>37</v>
      </c>
      <c r="D18" s="463" t="s">
        <v>48</v>
      </c>
    </row>
    <row r="19" spans="1:4" s="48" customFormat="1" ht="12.75" customHeight="1">
      <c r="A19" s="460"/>
      <c r="B19" s="462"/>
      <c r="C19" s="462"/>
      <c r="D19" s="464"/>
    </row>
    <row r="20" spans="1:4" s="48" customFormat="1" ht="11.25" customHeight="1" thickBot="1">
      <c r="A20" s="460"/>
      <c r="B20" s="462"/>
      <c r="C20" s="462"/>
      <c r="D20" s="464"/>
    </row>
    <row r="21" spans="1:4" s="50" customFormat="1" ht="12.75">
      <c r="A21" s="49" t="s">
        <v>6</v>
      </c>
      <c r="B21" s="76" t="s">
        <v>76</v>
      </c>
      <c r="C21" s="16" t="s">
        <v>38</v>
      </c>
      <c r="D21" s="10">
        <f>'O1'!C33</f>
        <v>0</v>
      </c>
    </row>
    <row r="22" spans="1:5" s="50" customFormat="1" ht="12.75">
      <c r="A22" s="77"/>
      <c r="B22" s="78" t="s">
        <v>32</v>
      </c>
      <c r="C22" s="79"/>
      <c r="D22" s="80">
        <f>SUM(D21:D21)</f>
        <v>0</v>
      </c>
      <c r="E22" s="81"/>
    </row>
    <row r="23" spans="1:4" ht="12.75">
      <c r="A23" s="82"/>
      <c r="B23" s="83"/>
      <c r="C23" s="84"/>
      <c r="D23" s="11"/>
    </row>
    <row r="24" spans="1:4" ht="12.75">
      <c r="A24" s="82"/>
      <c r="B24" s="78" t="s">
        <v>71</v>
      </c>
      <c r="C24" s="84"/>
      <c r="D24" s="80">
        <f>SUM(D22:D23)</f>
        <v>0</v>
      </c>
    </row>
    <row r="25" spans="1:4" ht="12.75">
      <c r="A25" s="82"/>
      <c r="B25" s="85" t="s">
        <v>72</v>
      </c>
      <c r="C25" s="84" t="s">
        <v>73</v>
      </c>
      <c r="D25" s="11"/>
    </row>
    <row r="26" spans="1:4" ht="12.75">
      <c r="A26" s="82"/>
      <c r="B26" s="83"/>
      <c r="C26" s="84"/>
      <c r="D26" s="11"/>
    </row>
    <row r="27" spans="1:4" ht="12.75">
      <c r="A27" s="82"/>
      <c r="B27" s="83"/>
      <c r="C27" s="84"/>
      <c r="D27" s="11"/>
    </row>
    <row r="28" spans="1:4" ht="12.75">
      <c r="A28" s="82"/>
      <c r="B28" s="83" t="s">
        <v>74</v>
      </c>
      <c r="C28" s="84" t="s">
        <v>73</v>
      </c>
      <c r="D28" s="11"/>
    </row>
    <row r="29" spans="1:4" ht="13.5" thickBot="1">
      <c r="A29" s="86"/>
      <c r="B29" s="87" t="s">
        <v>75</v>
      </c>
      <c r="C29" s="88" t="s">
        <v>73</v>
      </c>
      <c r="D29" s="20">
        <f>SUM(D26:D28)</f>
        <v>0</v>
      </c>
    </row>
    <row r="30" spans="1:6" ht="13.5" thickBot="1">
      <c r="A30" s="89"/>
      <c r="B30" s="90" t="s">
        <v>39</v>
      </c>
      <c r="C30" s="91"/>
      <c r="D30" s="17">
        <f>D24+D29</f>
        <v>0</v>
      </c>
      <c r="F30" s="92"/>
    </row>
    <row r="31" spans="1:6" ht="13.5" thickBot="1">
      <c r="A31" s="93"/>
      <c r="B31" s="94" t="s">
        <v>40</v>
      </c>
      <c r="C31" s="95">
        <v>0.22</v>
      </c>
      <c r="D31" s="18">
        <f>ROUND(D30*C31,2)</f>
        <v>0</v>
      </c>
      <c r="F31" s="92"/>
    </row>
    <row r="32" spans="1:6" ht="13.5" thickBot="1">
      <c r="A32" s="96"/>
      <c r="B32" s="97" t="s">
        <v>41</v>
      </c>
      <c r="C32" s="97"/>
      <c r="D32" s="51">
        <f>D31+D30</f>
        <v>0</v>
      </c>
      <c r="F32" s="92"/>
    </row>
    <row r="33" spans="1:4" ht="16.5" customHeight="1">
      <c r="A33" s="14"/>
      <c r="B33" s="56"/>
      <c r="D33" s="57"/>
    </row>
    <row r="34" spans="1:4" ht="16.5" customHeight="1">
      <c r="A34" s="14"/>
      <c r="B34" s="56"/>
      <c r="D34" s="57"/>
    </row>
    <row r="35" spans="1:4" ht="16.5" customHeight="1">
      <c r="A35" s="14"/>
      <c r="B35" s="56"/>
      <c r="D35" s="57"/>
    </row>
    <row r="36" spans="1:4" ht="16.5" customHeight="1">
      <c r="A36" s="58" t="s">
        <v>504</v>
      </c>
      <c r="B36" s="45"/>
      <c r="D36" s="57"/>
    </row>
    <row r="37" spans="1:4" ht="16.5" customHeight="1">
      <c r="A37" s="68"/>
      <c r="B37" s="59"/>
      <c r="D37" s="57"/>
    </row>
    <row r="38" spans="1:4" ht="16.5" customHeight="1">
      <c r="A38" s="14"/>
      <c r="B38" s="56"/>
      <c r="D38" s="57"/>
    </row>
    <row r="39" spans="1:4" ht="16.5" customHeight="1">
      <c r="A39" s="14"/>
      <c r="B39" s="56"/>
      <c r="D39" s="57"/>
    </row>
    <row r="40" spans="1:4" ht="16.5" customHeight="1">
      <c r="A40" s="58" t="s">
        <v>503</v>
      </c>
      <c r="B40" s="56"/>
      <c r="D40" s="57"/>
    </row>
    <row r="41" spans="1:4" ht="16.5" customHeight="1">
      <c r="A41" s="14"/>
      <c r="B41" s="56"/>
      <c r="D41" s="57"/>
    </row>
    <row r="42" spans="1:4" ht="16.5" customHeight="1">
      <c r="A42" s="14"/>
      <c r="B42" s="56"/>
      <c r="D42" s="57"/>
    </row>
    <row r="43" ht="16.5" customHeight="1">
      <c r="B43" s="45"/>
    </row>
    <row r="45" spans="2:6" ht="12.75">
      <c r="B45" s="60"/>
      <c r="C45" s="61"/>
      <c r="D45" s="61"/>
      <c r="E45" s="61"/>
      <c r="F45" s="61"/>
    </row>
    <row r="46" spans="2:6" ht="12.75">
      <c r="B46" s="60"/>
      <c r="C46" s="61"/>
      <c r="D46" s="61"/>
      <c r="E46" s="61"/>
      <c r="F46" s="61"/>
    </row>
    <row r="47" spans="2:6" ht="12.75">
      <c r="B47" s="60"/>
      <c r="C47" s="61"/>
      <c r="D47" s="61"/>
      <c r="E47" s="61"/>
      <c r="F47" s="61"/>
    </row>
    <row r="48" spans="2:6" ht="12.75">
      <c r="B48" s="60"/>
      <c r="C48" s="61"/>
      <c r="D48" s="61"/>
      <c r="E48" s="61"/>
      <c r="F48" s="61"/>
    </row>
    <row r="49" spans="2:6" ht="12.75">
      <c r="B49" s="60"/>
      <c r="C49" s="61"/>
      <c r="D49" s="61"/>
      <c r="E49" s="61"/>
      <c r="F49" s="61"/>
    </row>
    <row r="50" spans="2:6" ht="12.75">
      <c r="B50" s="60"/>
      <c r="C50" s="61"/>
      <c r="D50" s="61"/>
      <c r="E50" s="61"/>
      <c r="F50" s="61"/>
    </row>
    <row r="51" ht="12.75">
      <c r="F51" s="64"/>
    </row>
  </sheetData>
  <sheetProtection/>
  <mergeCells count="7">
    <mergeCell ref="A8:D8"/>
    <mergeCell ref="A9:D9"/>
    <mergeCell ref="A12:D12"/>
    <mergeCell ref="A18:A20"/>
    <mergeCell ref="B18:B20"/>
    <mergeCell ref="C18:C20"/>
    <mergeCell ref="D18:D2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2">
      <selection activeCell="A49" sqref="A49:IV51"/>
    </sheetView>
  </sheetViews>
  <sheetFormatPr defaultColWidth="9.140625" defaultRowHeight="12.75"/>
  <cols>
    <col min="1" max="1" width="8.140625" style="55" customWidth="1"/>
    <col min="2" max="2" width="30.140625" style="62" customWidth="1"/>
    <col min="3" max="3" width="13.28125" style="63" customWidth="1"/>
    <col min="4" max="7" width="10.00390625" style="47" customWidth="1"/>
    <col min="8" max="16384" width="9.140625" style="47" customWidth="1"/>
  </cols>
  <sheetData>
    <row r="1" spans="1:7" s="32" customFormat="1" ht="15">
      <c r="A1" s="435"/>
      <c r="B1" s="435"/>
      <c r="C1" s="435"/>
      <c r="D1" s="435"/>
      <c r="E1" s="435"/>
      <c r="F1" s="435"/>
      <c r="G1" s="435"/>
    </row>
    <row r="2" spans="1:7" s="32" customFormat="1" ht="25.5" customHeight="1">
      <c r="A2" s="457"/>
      <c r="B2" s="457"/>
      <c r="C2" s="457"/>
      <c r="D2" s="457"/>
      <c r="E2" s="457"/>
      <c r="F2" s="457"/>
      <c r="G2" s="457"/>
    </row>
    <row r="3" spans="1:7" s="32" customFormat="1" ht="25.5" customHeight="1">
      <c r="A3" s="33"/>
      <c r="B3" s="33"/>
      <c r="C3" s="33"/>
      <c r="D3" s="34"/>
      <c r="E3" s="34"/>
      <c r="F3" s="34"/>
      <c r="G3" s="34"/>
    </row>
    <row r="4" spans="1:3" s="32" customFormat="1" ht="18" customHeight="1">
      <c r="A4" s="35"/>
      <c r="B4" s="36"/>
      <c r="C4" s="31"/>
    </row>
    <row r="5" spans="1:7" s="32" customFormat="1" ht="33" customHeight="1">
      <c r="A5" s="436" t="s">
        <v>203</v>
      </c>
      <c r="B5" s="436"/>
      <c r="C5" s="436"/>
      <c r="D5" s="436"/>
      <c r="E5" s="436"/>
      <c r="F5" s="436"/>
      <c r="G5" s="436"/>
    </row>
    <row r="6" spans="1:3" s="32" customFormat="1" ht="18">
      <c r="A6" s="37"/>
      <c r="B6" s="38"/>
      <c r="C6" s="39"/>
    </row>
    <row r="7" spans="1:3" s="32" customFormat="1" ht="15" customHeight="1">
      <c r="A7" s="40" t="s">
        <v>234</v>
      </c>
      <c r="B7" s="41"/>
      <c r="C7" s="41"/>
    </row>
    <row r="8" spans="1:3" s="32" customFormat="1" ht="15">
      <c r="A8" s="40" t="s">
        <v>289</v>
      </c>
      <c r="B8" s="7"/>
      <c r="C8" s="9"/>
    </row>
    <row r="9" spans="1:3" s="32" customFormat="1" ht="15">
      <c r="A9" s="40"/>
      <c r="B9" s="7"/>
      <c r="C9" s="9"/>
    </row>
    <row r="10" spans="1:4" s="32" customFormat="1" ht="15">
      <c r="A10" s="5"/>
      <c r="B10" s="6"/>
      <c r="C10" s="7"/>
      <c r="D10" s="8"/>
    </row>
    <row r="11" spans="1:4" s="32" customFormat="1" ht="15">
      <c r="A11" s="42" t="s">
        <v>12</v>
      </c>
      <c r="B11" s="6"/>
      <c r="C11" s="7"/>
      <c r="D11" s="8"/>
    </row>
    <row r="12" spans="1:4" s="32" customFormat="1" ht="15">
      <c r="A12" s="42"/>
      <c r="B12" s="6"/>
      <c r="C12" s="7"/>
      <c r="D12" s="8"/>
    </row>
    <row r="13" spans="1:3" s="32" customFormat="1" ht="15">
      <c r="A13" s="1"/>
      <c r="B13" s="43" t="s">
        <v>60</v>
      </c>
      <c r="C13" s="44">
        <f>C33</f>
        <v>0</v>
      </c>
    </row>
    <row r="14" spans="1:3" s="32" customFormat="1" ht="15">
      <c r="A14" s="42"/>
      <c r="B14" s="45" t="s">
        <v>61</v>
      </c>
      <c r="C14" s="46">
        <f>G29</f>
        <v>0</v>
      </c>
    </row>
    <row r="15" spans="1:3" s="32" customFormat="1" ht="15">
      <c r="A15" s="42"/>
      <c r="B15" s="7"/>
      <c r="C15" s="8"/>
    </row>
    <row r="16" spans="1:3" s="32" customFormat="1" ht="15">
      <c r="A16" s="42"/>
      <c r="B16" s="235" t="s">
        <v>515</v>
      </c>
      <c r="C16" s="8"/>
    </row>
    <row r="17" spans="1:3" s="32" customFormat="1" ht="15.75" thickBot="1">
      <c r="A17" s="40"/>
      <c r="B17" s="7"/>
      <c r="C17" s="9"/>
    </row>
    <row r="18" spans="1:7" ht="12.75" customHeight="1">
      <c r="A18" s="469" t="s">
        <v>46</v>
      </c>
      <c r="B18" s="472" t="s">
        <v>47</v>
      </c>
      <c r="C18" s="472" t="s">
        <v>62</v>
      </c>
      <c r="D18" s="466" t="s">
        <v>21</v>
      </c>
      <c r="E18" s="466" t="s">
        <v>22</v>
      </c>
      <c r="F18" s="466" t="s">
        <v>23</v>
      </c>
      <c r="G18" s="442" t="s">
        <v>25</v>
      </c>
    </row>
    <row r="19" spans="1:7" s="48" customFormat="1" ht="12.75" customHeight="1">
      <c r="A19" s="470"/>
      <c r="B19" s="473"/>
      <c r="C19" s="473"/>
      <c r="D19" s="467"/>
      <c r="E19" s="467"/>
      <c r="F19" s="467"/>
      <c r="G19" s="443"/>
    </row>
    <row r="20" spans="1:7" s="48" customFormat="1" ht="11.25" customHeight="1" thickBot="1">
      <c r="A20" s="471"/>
      <c r="B20" s="439"/>
      <c r="C20" s="439"/>
      <c r="D20" s="468"/>
      <c r="E20" s="468"/>
      <c r="F20" s="468"/>
      <c r="G20" s="444"/>
    </row>
    <row r="21" spans="1:7" s="50" customFormat="1" ht="12.75">
      <c r="A21" s="338" t="s">
        <v>6</v>
      </c>
      <c r="B21" s="339" t="s">
        <v>63</v>
      </c>
      <c r="C21" s="340">
        <f>1!P43</f>
        <v>0</v>
      </c>
      <c r="D21" s="341">
        <f>1!M43</f>
        <v>0</v>
      </c>
      <c r="E21" s="341">
        <f>1!N43</f>
        <v>0</v>
      </c>
      <c r="F21" s="341">
        <f>1!O43</f>
        <v>0</v>
      </c>
      <c r="G21" s="342">
        <f>1!L43</f>
        <v>0</v>
      </c>
    </row>
    <row r="22" spans="1:7" s="50" customFormat="1" ht="12.75">
      <c r="A22" s="250" t="s">
        <v>7</v>
      </c>
      <c r="B22" s="266" t="s">
        <v>64</v>
      </c>
      <c r="C22" s="251">
        <f>2!P81</f>
        <v>0</v>
      </c>
      <c r="D22" s="252">
        <f>2!M81</f>
        <v>0</v>
      </c>
      <c r="E22" s="252">
        <f>2!N81</f>
        <v>0</v>
      </c>
      <c r="F22" s="252">
        <f>2!O81</f>
        <v>0</v>
      </c>
      <c r="G22" s="253">
        <f>2!L81</f>
        <v>0</v>
      </c>
    </row>
    <row r="23" spans="1:7" s="50" customFormat="1" ht="22.5">
      <c r="A23" s="250" t="s">
        <v>8</v>
      </c>
      <c r="B23" s="266" t="s">
        <v>342</v>
      </c>
      <c r="C23" s="251">
        <f>3!P56</f>
        <v>0</v>
      </c>
      <c r="D23" s="252">
        <f>3!M56</f>
        <v>0</v>
      </c>
      <c r="E23" s="252">
        <f>3!N56</f>
        <v>0</v>
      </c>
      <c r="F23" s="252">
        <f>3!O56</f>
        <v>0</v>
      </c>
      <c r="G23" s="253">
        <f>3!L56</f>
        <v>0</v>
      </c>
    </row>
    <row r="24" spans="1:7" s="50" customFormat="1" ht="12.75">
      <c r="A24" s="250" t="s">
        <v>9</v>
      </c>
      <c r="B24" s="266" t="s">
        <v>65</v>
      </c>
      <c r="C24" s="251">
        <f>4!P29</f>
        <v>0</v>
      </c>
      <c r="D24" s="252">
        <f>4!M27</f>
        <v>0</v>
      </c>
      <c r="E24" s="252">
        <f>4!N27</f>
        <v>0</v>
      </c>
      <c r="F24" s="252">
        <f>4!O27</f>
        <v>0</v>
      </c>
      <c r="G24" s="253">
        <f>4!L29</f>
        <v>0</v>
      </c>
    </row>
    <row r="25" spans="1:7" s="50" customFormat="1" ht="12.75">
      <c r="A25" s="250" t="s">
        <v>10</v>
      </c>
      <c r="B25" s="266" t="s">
        <v>66</v>
      </c>
      <c r="C25" s="251">
        <f>5!P45</f>
        <v>0</v>
      </c>
      <c r="D25" s="252">
        <f>5!M45</f>
        <v>0</v>
      </c>
      <c r="E25" s="252">
        <f>5!N45</f>
        <v>0</v>
      </c>
      <c r="F25" s="252">
        <f>5!O45</f>
        <v>0</v>
      </c>
      <c r="G25" s="253">
        <f>5!L45</f>
        <v>0</v>
      </c>
    </row>
    <row r="26" spans="1:8" s="50" customFormat="1" ht="12.75">
      <c r="A26" s="250" t="s">
        <v>11</v>
      </c>
      <c r="B26" s="266" t="s">
        <v>67</v>
      </c>
      <c r="C26" s="251">
        <f>6!P129</f>
        <v>0</v>
      </c>
      <c r="D26" s="252">
        <f>6!M129</f>
        <v>0</v>
      </c>
      <c r="E26" s="252">
        <f>6!N129</f>
        <v>0</v>
      </c>
      <c r="F26" s="252">
        <f>6!O129</f>
        <v>0</v>
      </c>
      <c r="G26" s="253">
        <f>6!L129</f>
        <v>0</v>
      </c>
      <c r="H26" s="158"/>
    </row>
    <row r="27" spans="1:8" s="50" customFormat="1" ht="12.75">
      <c r="A27" s="250" t="s">
        <v>28</v>
      </c>
      <c r="B27" s="266" t="s">
        <v>334</v>
      </c>
      <c r="C27" s="251">
        <f>7!P210</f>
        <v>0</v>
      </c>
      <c r="D27" s="252">
        <f>7!M210</f>
        <v>0</v>
      </c>
      <c r="E27" s="252">
        <f>7!N210</f>
        <v>0</v>
      </c>
      <c r="F27" s="252">
        <f>7!O210</f>
        <v>0</v>
      </c>
      <c r="G27" s="253">
        <f>7!L210</f>
        <v>0</v>
      </c>
      <c r="H27" s="158"/>
    </row>
    <row r="28" spans="1:8" s="50" customFormat="1" ht="13.5" thickBot="1">
      <c r="A28" s="274" t="s">
        <v>29</v>
      </c>
      <c r="B28" s="275" t="s">
        <v>343</v>
      </c>
      <c r="C28" s="276">
        <f>8!P49</f>
        <v>0</v>
      </c>
      <c r="D28" s="277">
        <f>8!M49</f>
        <v>0</v>
      </c>
      <c r="E28" s="277">
        <f>8!N49</f>
        <v>0</v>
      </c>
      <c r="F28" s="277">
        <f>8!O49</f>
        <v>0</v>
      </c>
      <c r="G28" s="278">
        <f>8!L49</f>
        <v>0</v>
      </c>
      <c r="H28" s="158"/>
    </row>
    <row r="29" spans="1:8" s="50" customFormat="1" ht="13.5" thickBot="1">
      <c r="A29" s="377"/>
      <c r="B29" s="378" t="s">
        <v>5</v>
      </c>
      <c r="C29" s="379">
        <f>SUM(C21:C28)</f>
        <v>0</v>
      </c>
      <c r="D29" s="379">
        <f>SUM(D21:D28)</f>
        <v>0</v>
      </c>
      <c r="E29" s="379">
        <f>SUM(E21:E28)</f>
        <v>0</v>
      </c>
      <c r="F29" s="379">
        <f>SUM(F21:F28)</f>
        <v>0</v>
      </c>
      <c r="G29" s="379">
        <f>SUM(G21:G28)</f>
        <v>0</v>
      </c>
      <c r="H29" s="52"/>
    </row>
    <row r="30" spans="1:3" ht="16.5" customHeight="1">
      <c r="A30" s="440" t="s">
        <v>516</v>
      </c>
      <c r="B30" s="440"/>
      <c r="C30" s="53">
        <f>ROUND(0.01*C29,2)</f>
        <v>0</v>
      </c>
    </row>
    <row r="31" spans="1:3" ht="16.5" customHeight="1">
      <c r="A31" s="441" t="s">
        <v>517</v>
      </c>
      <c r="B31" s="441"/>
      <c r="C31" s="53">
        <f>ROUND(0.01*C29,2)</f>
        <v>0</v>
      </c>
    </row>
    <row r="32" spans="1:3" ht="16.5" customHeight="1">
      <c r="A32" s="441" t="s">
        <v>31</v>
      </c>
      <c r="B32" s="441"/>
      <c r="C32" s="53">
        <f>ROUND(0.2409*D29,2)</f>
        <v>0</v>
      </c>
    </row>
    <row r="33" spans="1:3" ht="16.5" customHeight="1">
      <c r="A33" s="465" t="s">
        <v>30</v>
      </c>
      <c r="B33" s="465"/>
      <c r="C33" s="54">
        <f>SUM(C29:C32)</f>
        <v>0</v>
      </c>
    </row>
    <row r="34" spans="2:3" ht="16.5" customHeight="1">
      <c r="B34" s="56"/>
      <c r="C34" s="57"/>
    </row>
    <row r="35" spans="2:3" ht="16.5" customHeight="1">
      <c r="B35" s="56"/>
      <c r="C35" s="57"/>
    </row>
    <row r="36" spans="1:3" ht="16.5" customHeight="1">
      <c r="A36" s="58" t="s">
        <v>504</v>
      </c>
      <c r="B36" s="56"/>
      <c r="C36" s="57"/>
    </row>
    <row r="37" spans="2:3" ht="16.5" customHeight="1">
      <c r="B37" s="59"/>
      <c r="C37" s="57"/>
    </row>
    <row r="38" spans="2:3" ht="16.5" customHeight="1">
      <c r="B38" s="56"/>
      <c r="C38" s="57"/>
    </row>
    <row r="39" spans="2:3" ht="16.5" customHeight="1">
      <c r="B39" s="56"/>
      <c r="C39" s="57"/>
    </row>
    <row r="40" spans="1:3" ht="16.5" customHeight="1">
      <c r="A40" s="58" t="s">
        <v>503</v>
      </c>
      <c r="B40" s="56"/>
      <c r="C40" s="57"/>
    </row>
    <row r="41" spans="2:3" ht="16.5" customHeight="1">
      <c r="B41" s="56"/>
      <c r="C41" s="57"/>
    </row>
    <row r="42" spans="2:3" ht="16.5" customHeight="1">
      <c r="B42" s="56"/>
      <c r="C42" s="57"/>
    </row>
    <row r="43" spans="2:3" ht="16.5" customHeight="1">
      <c r="B43" s="56"/>
      <c r="C43" s="57"/>
    </row>
    <row r="44" spans="2:3" ht="16.5" customHeight="1">
      <c r="B44" s="56"/>
      <c r="C44" s="57"/>
    </row>
    <row r="45" spans="2:3" ht="16.5" customHeight="1">
      <c r="B45" s="56"/>
      <c r="C45" s="57"/>
    </row>
    <row r="47" spans="2:5" ht="12.75">
      <c r="B47" s="60"/>
      <c r="C47" s="61"/>
      <c r="D47" s="61"/>
      <c r="E47" s="61"/>
    </row>
    <row r="48" spans="2:5" ht="12.75">
      <c r="B48" s="60"/>
      <c r="C48" s="61"/>
      <c r="D48" s="61"/>
      <c r="E48" s="61"/>
    </row>
    <row r="49" spans="2:5" ht="12.75">
      <c r="B49" s="60"/>
      <c r="C49" s="61"/>
      <c r="D49" s="61"/>
      <c r="E49" s="61"/>
    </row>
    <row r="50" spans="2:5" ht="12.75">
      <c r="B50" s="60"/>
      <c r="C50" s="61"/>
      <c r="D50" s="61"/>
      <c r="E50" s="61"/>
    </row>
    <row r="51" spans="2:5" ht="12.75">
      <c r="B51" s="60"/>
      <c r="C51" s="61"/>
      <c r="D51" s="61"/>
      <c r="E51" s="61"/>
    </row>
    <row r="52" spans="2:5" ht="12.75">
      <c r="B52" s="60"/>
      <c r="C52" s="61"/>
      <c r="D52" s="61"/>
      <c r="E52" s="61"/>
    </row>
    <row r="53" ht="12.75">
      <c r="E53" s="64"/>
    </row>
  </sheetData>
  <sheetProtection/>
  <mergeCells count="14">
    <mergeCell ref="G18:G20"/>
    <mergeCell ref="A1:G1"/>
    <mergeCell ref="A2:G2"/>
    <mergeCell ref="A5:G5"/>
    <mergeCell ref="A33:B33"/>
    <mergeCell ref="D18:D20"/>
    <mergeCell ref="E18:E20"/>
    <mergeCell ref="F18:F20"/>
    <mergeCell ref="A18:A20"/>
    <mergeCell ref="B18:B20"/>
    <mergeCell ref="C18:C20"/>
    <mergeCell ref="A30:B30"/>
    <mergeCell ref="A31:B31"/>
    <mergeCell ref="A32:B3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showZeros="0" zoomScale="92" zoomScaleNormal="92" zoomScalePageLayoutView="0" workbookViewId="0" topLeftCell="A22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77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'[1]O1'!B21</f>
        <v>Būvlaukuma sagatavošanas darbi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'O1'!A8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P43</f>
        <v>0</v>
      </c>
      <c r="P12" s="475"/>
    </row>
    <row r="13" spans="1:16" ht="14.25">
      <c r="A13" s="284" t="s">
        <v>505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22.5">
      <c r="A18" s="159" t="s">
        <v>6</v>
      </c>
      <c r="B18" s="160" t="s">
        <v>27</v>
      </c>
      <c r="C18" s="245" t="s">
        <v>88</v>
      </c>
      <c r="D18" s="161" t="s">
        <v>78</v>
      </c>
      <c r="E18" s="246">
        <v>5</v>
      </c>
      <c r="F18" s="247"/>
      <c r="G18" s="162"/>
      <c r="H18" s="162"/>
      <c r="I18" s="162"/>
      <c r="J18" s="162"/>
      <c r="K18" s="163"/>
      <c r="L18" s="248"/>
      <c r="M18" s="162"/>
      <c r="N18" s="162"/>
      <c r="O18" s="162"/>
      <c r="P18" s="163"/>
    </row>
    <row r="19" spans="1:16" ht="11.25">
      <c r="A19" s="157"/>
      <c r="B19" s="125"/>
      <c r="C19" s="134" t="s">
        <v>43</v>
      </c>
      <c r="D19" s="127" t="s">
        <v>79</v>
      </c>
      <c r="E19" s="128">
        <f>E18</f>
        <v>5</v>
      </c>
      <c r="F19" s="129"/>
      <c r="G19" s="130"/>
      <c r="H19" s="130"/>
      <c r="I19" s="130"/>
      <c r="J19" s="130"/>
      <c r="K19" s="131"/>
      <c r="L19" s="132"/>
      <c r="M19" s="130"/>
      <c r="N19" s="130"/>
      <c r="O19" s="130"/>
      <c r="P19" s="131"/>
    </row>
    <row r="20" spans="1:16" ht="11.25">
      <c r="A20" s="157"/>
      <c r="B20" s="125"/>
      <c r="C20" s="134" t="s">
        <v>44</v>
      </c>
      <c r="D20" s="127" t="s">
        <v>45</v>
      </c>
      <c r="E20" s="128">
        <v>40</v>
      </c>
      <c r="F20" s="129"/>
      <c r="G20" s="130"/>
      <c r="H20" s="130"/>
      <c r="I20" s="130"/>
      <c r="J20" s="130"/>
      <c r="K20" s="131"/>
      <c r="L20" s="132"/>
      <c r="M20" s="130"/>
      <c r="N20" s="130"/>
      <c r="O20" s="130"/>
      <c r="P20" s="131"/>
    </row>
    <row r="21" spans="1:16" ht="22.5">
      <c r="A21" s="157" t="s">
        <v>7</v>
      </c>
      <c r="B21" s="125" t="s">
        <v>27</v>
      </c>
      <c r="C21" s="126" t="s">
        <v>89</v>
      </c>
      <c r="D21" s="127" t="s">
        <v>78</v>
      </c>
      <c r="E21" s="128">
        <v>5</v>
      </c>
      <c r="F21" s="129"/>
      <c r="G21" s="130"/>
      <c r="H21" s="130"/>
      <c r="I21" s="130"/>
      <c r="J21" s="130"/>
      <c r="K21" s="131"/>
      <c r="L21" s="132"/>
      <c r="M21" s="130"/>
      <c r="N21" s="130"/>
      <c r="O21" s="130"/>
      <c r="P21" s="131"/>
    </row>
    <row r="22" spans="1:16" ht="11.25">
      <c r="A22" s="157"/>
      <c r="B22" s="125"/>
      <c r="C22" s="134" t="s">
        <v>43</v>
      </c>
      <c r="D22" s="127" t="s">
        <v>79</v>
      </c>
      <c r="E22" s="128">
        <f>E21</f>
        <v>5</v>
      </c>
      <c r="F22" s="129"/>
      <c r="G22" s="130"/>
      <c r="H22" s="130"/>
      <c r="I22" s="130"/>
      <c r="J22" s="130"/>
      <c r="K22" s="131"/>
      <c r="L22" s="132"/>
      <c r="M22" s="130"/>
      <c r="N22" s="130"/>
      <c r="O22" s="130"/>
      <c r="P22" s="131"/>
    </row>
    <row r="23" spans="1:16" ht="11.25">
      <c r="A23" s="157"/>
      <c r="B23" s="125"/>
      <c r="C23" s="134" t="s">
        <v>44</v>
      </c>
      <c r="D23" s="127" t="s">
        <v>45</v>
      </c>
      <c r="E23" s="128">
        <v>40</v>
      </c>
      <c r="F23" s="129"/>
      <c r="G23" s="130"/>
      <c r="H23" s="130"/>
      <c r="I23" s="130"/>
      <c r="J23" s="130"/>
      <c r="K23" s="131"/>
      <c r="L23" s="132"/>
      <c r="M23" s="130"/>
      <c r="N23" s="130"/>
      <c r="O23" s="130"/>
      <c r="P23" s="131"/>
    </row>
    <row r="24" spans="1:16" ht="22.5">
      <c r="A24" s="157" t="s">
        <v>7</v>
      </c>
      <c r="B24" s="125" t="s">
        <v>27</v>
      </c>
      <c r="C24" s="126" t="s">
        <v>290</v>
      </c>
      <c r="D24" s="127" t="s">
        <v>78</v>
      </c>
      <c r="E24" s="128">
        <v>5</v>
      </c>
      <c r="F24" s="129"/>
      <c r="G24" s="130"/>
      <c r="H24" s="130"/>
      <c r="I24" s="130"/>
      <c r="J24" s="130"/>
      <c r="K24" s="131"/>
      <c r="L24" s="132"/>
      <c r="M24" s="130"/>
      <c r="N24" s="130"/>
      <c r="O24" s="130"/>
      <c r="P24" s="131"/>
    </row>
    <row r="25" spans="1:16" ht="11.25">
      <c r="A25" s="157"/>
      <c r="B25" s="125"/>
      <c r="C25" s="134" t="s">
        <v>43</v>
      </c>
      <c r="D25" s="127" t="s">
        <v>79</v>
      </c>
      <c r="E25" s="128">
        <f>E24</f>
        <v>5</v>
      </c>
      <c r="F25" s="129"/>
      <c r="G25" s="130"/>
      <c r="H25" s="130"/>
      <c r="I25" s="130"/>
      <c r="J25" s="130"/>
      <c r="K25" s="131"/>
      <c r="L25" s="132"/>
      <c r="M25" s="130"/>
      <c r="N25" s="130"/>
      <c r="O25" s="130"/>
      <c r="P25" s="131"/>
    </row>
    <row r="26" spans="1:16" ht="11.25">
      <c r="A26" s="157"/>
      <c r="B26" s="125"/>
      <c r="C26" s="134" t="s">
        <v>44</v>
      </c>
      <c r="D26" s="127" t="s">
        <v>45</v>
      </c>
      <c r="E26" s="128">
        <v>40</v>
      </c>
      <c r="F26" s="129"/>
      <c r="G26" s="130"/>
      <c r="H26" s="130"/>
      <c r="I26" s="130"/>
      <c r="J26" s="130"/>
      <c r="K26" s="131"/>
      <c r="L26" s="132"/>
      <c r="M26" s="130"/>
      <c r="N26" s="130"/>
      <c r="O26" s="130"/>
      <c r="P26" s="131"/>
    </row>
    <row r="27" spans="1:16" ht="22.5">
      <c r="A27" s="157" t="s">
        <v>8</v>
      </c>
      <c r="B27" s="125" t="s">
        <v>27</v>
      </c>
      <c r="C27" s="239" t="s">
        <v>90</v>
      </c>
      <c r="D27" s="295" t="s">
        <v>79</v>
      </c>
      <c r="E27" s="128">
        <v>5</v>
      </c>
      <c r="F27" s="129"/>
      <c r="G27" s="130"/>
      <c r="H27" s="130"/>
      <c r="I27" s="130"/>
      <c r="J27" s="130"/>
      <c r="K27" s="131"/>
      <c r="L27" s="132"/>
      <c r="M27" s="130"/>
      <c r="N27" s="130"/>
      <c r="O27" s="130"/>
      <c r="P27" s="131"/>
    </row>
    <row r="28" spans="1:16" ht="11.25">
      <c r="A28" s="157"/>
      <c r="B28" s="125"/>
      <c r="C28" s="164" t="s">
        <v>42</v>
      </c>
      <c r="D28" s="127" t="s">
        <v>79</v>
      </c>
      <c r="E28" s="128">
        <f>E27</f>
        <v>5</v>
      </c>
      <c r="F28" s="129"/>
      <c r="G28" s="130"/>
      <c r="H28" s="130"/>
      <c r="I28" s="130"/>
      <c r="J28" s="130"/>
      <c r="K28" s="131"/>
      <c r="L28" s="132"/>
      <c r="M28" s="130"/>
      <c r="N28" s="130"/>
      <c r="O28" s="130"/>
      <c r="P28" s="131"/>
    </row>
    <row r="29" spans="1:16" ht="22.5">
      <c r="A29" s="157" t="s">
        <v>9</v>
      </c>
      <c r="B29" s="125" t="s">
        <v>27</v>
      </c>
      <c r="C29" s="239" t="s">
        <v>80</v>
      </c>
      <c r="D29" s="295" t="s">
        <v>1</v>
      </c>
      <c r="E29" s="128">
        <v>1</v>
      </c>
      <c r="F29" s="129"/>
      <c r="G29" s="130"/>
      <c r="H29" s="130"/>
      <c r="I29" s="130"/>
      <c r="J29" s="130"/>
      <c r="K29" s="131"/>
      <c r="L29" s="132"/>
      <c r="M29" s="130"/>
      <c r="N29" s="130"/>
      <c r="O29" s="130"/>
      <c r="P29" s="131"/>
    </row>
    <row r="30" spans="1:16" ht="11.25">
      <c r="A30" s="157"/>
      <c r="B30" s="125"/>
      <c r="C30" s="164" t="s">
        <v>81</v>
      </c>
      <c r="D30" s="127" t="s">
        <v>1</v>
      </c>
      <c r="E30" s="128">
        <v>1</v>
      </c>
      <c r="F30" s="129"/>
      <c r="G30" s="130"/>
      <c r="H30" s="130"/>
      <c r="I30" s="130"/>
      <c r="J30" s="130"/>
      <c r="K30" s="131"/>
      <c r="L30" s="132"/>
      <c r="M30" s="130"/>
      <c r="N30" s="130"/>
      <c r="O30" s="130"/>
      <c r="P30" s="131"/>
    </row>
    <row r="31" spans="1:16" ht="33.75">
      <c r="A31" s="157" t="s">
        <v>10</v>
      </c>
      <c r="B31" s="125" t="s">
        <v>27</v>
      </c>
      <c r="C31" s="126" t="s">
        <v>270</v>
      </c>
      <c r="D31" s="127" t="s">
        <v>2</v>
      </c>
      <c r="E31" s="165">
        <v>117</v>
      </c>
      <c r="F31" s="129"/>
      <c r="G31" s="130"/>
      <c r="H31" s="130"/>
      <c r="I31" s="130"/>
      <c r="J31" s="130"/>
      <c r="K31" s="131"/>
      <c r="L31" s="132"/>
      <c r="M31" s="130"/>
      <c r="N31" s="130"/>
      <c r="O31" s="130"/>
      <c r="P31" s="131"/>
    </row>
    <row r="32" spans="1:16" ht="11.25">
      <c r="A32" s="157"/>
      <c r="B32" s="125"/>
      <c r="C32" s="134" t="s">
        <v>271</v>
      </c>
      <c r="D32" s="127" t="s">
        <v>2</v>
      </c>
      <c r="E32" s="128">
        <f>E31</f>
        <v>117</v>
      </c>
      <c r="F32" s="129"/>
      <c r="G32" s="130"/>
      <c r="H32" s="130"/>
      <c r="I32" s="130"/>
      <c r="J32" s="130"/>
      <c r="K32" s="131"/>
      <c r="L32" s="132"/>
      <c r="M32" s="130"/>
      <c r="N32" s="130"/>
      <c r="O32" s="130"/>
      <c r="P32" s="131"/>
    </row>
    <row r="33" spans="1:16" ht="33.75">
      <c r="A33" s="157" t="s">
        <v>11</v>
      </c>
      <c r="B33" s="125" t="s">
        <v>27</v>
      </c>
      <c r="C33" s="239" t="s">
        <v>82</v>
      </c>
      <c r="D33" s="295" t="s">
        <v>0</v>
      </c>
      <c r="E33" s="128">
        <v>1</v>
      </c>
      <c r="F33" s="129"/>
      <c r="G33" s="130"/>
      <c r="H33" s="130"/>
      <c r="I33" s="130"/>
      <c r="J33" s="130"/>
      <c r="K33" s="131"/>
      <c r="L33" s="132"/>
      <c r="M33" s="130"/>
      <c r="N33" s="130"/>
      <c r="O33" s="130"/>
      <c r="P33" s="131"/>
    </row>
    <row r="34" spans="1:16" ht="11.25">
      <c r="A34" s="157"/>
      <c r="B34" s="125"/>
      <c r="C34" s="164" t="s">
        <v>83</v>
      </c>
      <c r="D34" s="127" t="s">
        <v>0</v>
      </c>
      <c r="E34" s="128">
        <f>E33</f>
        <v>1</v>
      </c>
      <c r="F34" s="129"/>
      <c r="G34" s="130"/>
      <c r="H34" s="130"/>
      <c r="I34" s="130"/>
      <c r="J34" s="130"/>
      <c r="K34" s="131"/>
      <c r="L34" s="132"/>
      <c r="M34" s="130"/>
      <c r="N34" s="130"/>
      <c r="O34" s="130"/>
      <c r="P34" s="131"/>
    </row>
    <row r="35" spans="1:16" ht="22.5">
      <c r="A35" s="157" t="s">
        <v>28</v>
      </c>
      <c r="B35" s="125" t="s">
        <v>27</v>
      </c>
      <c r="C35" s="239" t="s">
        <v>84</v>
      </c>
      <c r="D35" s="295" t="s">
        <v>79</v>
      </c>
      <c r="E35" s="128">
        <v>5</v>
      </c>
      <c r="F35" s="129"/>
      <c r="G35" s="130"/>
      <c r="H35" s="130"/>
      <c r="I35" s="130"/>
      <c r="J35" s="130"/>
      <c r="K35" s="131"/>
      <c r="L35" s="132"/>
      <c r="M35" s="130"/>
      <c r="N35" s="130"/>
      <c r="O35" s="130"/>
      <c r="P35" s="131"/>
    </row>
    <row r="36" spans="1:16" ht="11.25">
      <c r="A36" s="157"/>
      <c r="B36" s="125"/>
      <c r="C36" s="164" t="s">
        <v>85</v>
      </c>
      <c r="D36" s="127" t="s">
        <v>79</v>
      </c>
      <c r="E36" s="128">
        <f>E35</f>
        <v>5</v>
      </c>
      <c r="F36" s="129"/>
      <c r="G36" s="130"/>
      <c r="H36" s="130"/>
      <c r="I36" s="130"/>
      <c r="J36" s="130"/>
      <c r="K36" s="131"/>
      <c r="L36" s="132"/>
      <c r="M36" s="130"/>
      <c r="N36" s="130"/>
      <c r="O36" s="130"/>
      <c r="P36" s="131"/>
    </row>
    <row r="37" spans="1:16" ht="22.5">
      <c r="A37" s="157" t="s">
        <v>29</v>
      </c>
      <c r="B37" s="125" t="s">
        <v>27</v>
      </c>
      <c r="C37" s="239" t="s">
        <v>86</v>
      </c>
      <c r="D37" s="295" t="s">
        <v>0</v>
      </c>
      <c r="E37" s="128">
        <v>1</v>
      </c>
      <c r="F37" s="129"/>
      <c r="G37" s="130"/>
      <c r="H37" s="130"/>
      <c r="I37" s="130"/>
      <c r="J37" s="130"/>
      <c r="K37" s="131"/>
      <c r="L37" s="132"/>
      <c r="M37" s="130"/>
      <c r="N37" s="130"/>
      <c r="O37" s="130"/>
      <c r="P37" s="131"/>
    </row>
    <row r="38" spans="1:16" ht="11.25">
      <c r="A38" s="157"/>
      <c r="B38" s="125"/>
      <c r="C38" s="164" t="s">
        <v>83</v>
      </c>
      <c r="D38" s="127" t="s">
        <v>0</v>
      </c>
      <c r="E38" s="128">
        <f>E37</f>
        <v>1</v>
      </c>
      <c r="F38" s="129"/>
      <c r="G38" s="130"/>
      <c r="H38" s="130"/>
      <c r="I38" s="130"/>
      <c r="J38" s="130"/>
      <c r="K38" s="131"/>
      <c r="L38" s="132"/>
      <c r="M38" s="130"/>
      <c r="N38" s="130"/>
      <c r="O38" s="130"/>
      <c r="P38" s="131"/>
    </row>
    <row r="39" spans="1:16" ht="22.5">
      <c r="A39" s="157" t="s">
        <v>33</v>
      </c>
      <c r="B39" s="125" t="s">
        <v>27</v>
      </c>
      <c r="C39" s="239" t="s">
        <v>87</v>
      </c>
      <c r="D39" s="295" t="s">
        <v>79</v>
      </c>
      <c r="E39" s="128">
        <v>4</v>
      </c>
      <c r="F39" s="129"/>
      <c r="G39" s="130"/>
      <c r="H39" s="130"/>
      <c r="I39" s="130"/>
      <c r="J39" s="130"/>
      <c r="K39" s="131"/>
      <c r="L39" s="132"/>
      <c r="M39" s="130"/>
      <c r="N39" s="130"/>
      <c r="O39" s="130"/>
      <c r="P39" s="131"/>
    </row>
    <row r="40" spans="1:16" ht="12" thickBot="1">
      <c r="A40" s="166"/>
      <c r="B40" s="167"/>
      <c r="C40" s="168" t="s">
        <v>85</v>
      </c>
      <c r="D40" s="169" t="s">
        <v>79</v>
      </c>
      <c r="E40" s="170">
        <f>E39</f>
        <v>4</v>
      </c>
      <c r="F40" s="171"/>
      <c r="G40" s="135"/>
      <c r="H40" s="135"/>
      <c r="I40" s="135"/>
      <c r="J40" s="135"/>
      <c r="K40" s="172"/>
      <c r="L40" s="173"/>
      <c r="M40" s="135"/>
      <c r="N40" s="135"/>
      <c r="O40" s="135"/>
      <c r="P40" s="172"/>
    </row>
    <row r="41" spans="1:16" ht="12" thickBot="1">
      <c r="A41" s="488" t="s">
        <v>5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90"/>
      <c r="L41" s="296"/>
      <c r="M41" s="297"/>
      <c r="N41" s="297"/>
      <c r="O41" s="297"/>
      <c r="P41" s="298"/>
    </row>
    <row r="42" spans="1:16" ht="12" thickBot="1">
      <c r="A42" s="491" t="s">
        <v>506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3"/>
      <c r="L42" s="299"/>
      <c r="M42" s="300"/>
      <c r="N42" s="300"/>
      <c r="O42" s="300"/>
      <c r="P42" s="301"/>
    </row>
    <row r="43" spans="1:16" ht="12" thickBot="1">
      <c r="A43" s="485" t="s">
        <v>5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7"/>
      <c r="L43" s="302"/>
      <c r="M43" s="303"/>
      <c r="N43" s="303"/>
      <c r="O43" s="303"/>
      <c r="P43" s="304"/>
    </row>
    <row r="46" spans="1:8" ht="11.25">
      <c r="A46" s="305" t="s">
        <v>507</v>
      </c>
      <c r="B46" s="306"/>
      <c r="H46" s="305" t="s">
        <v>503</v>
      </c>
    </row>
    <row r="47" ht="11.25">
      <c r="F47" s="308"/>
    </row>
  </sheetData>
  <sheetProtection/>
  <mergeCells count="16">
    <mergeCell ref="A43:K43"/>
    <mergeCell ref="A41:K41"/>
    <mergeCell ref="A42:K42"/>
    <mergeCell ref="A16:A17"/>
    <mergeCell ref="B16:B17"/>
    <mergeCell ref="E16:E17"/>
    <mergeCell ref="F16:K16"/>
    <mergeCell ref="L16:P16"/>
    <mergeCell ref="O12:P12"/>
    <mergeCell ref="C16:C17"/>
    <mergeCell ref="A1:P1"/>
    <mergeCell ref="A2:P3"/>
    <mergeCell ref="A5:P5"/>
    <mergeCell ref="A6:P6"/>
    <mergeCell ref="L12:N12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85"/>
  <sheetViews>
    <sheetView showZeros="0" zoomScale="92" zoomScaleNormal="92" zoomScalePageLayoutView="0" workbookViewId="0" topLeftCell="A25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113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'O1'!B22</f>
        <v>Jumtu renovācijas darbi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'O1'!A8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P81</f>
        <v>0</v>
      </c>
      <c r="P12" s="475"/>
    </row>
    <row r="13" spans="1:16" ht="14.25">
      <c r="A13" s="284" t="s">
        <v>508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11.25">
      <c r="A18" s="159"/>
      <c r="B18" s="160"/>
      <c r="C18" s="227"/>
      <c r="D18" s="161"/>
      <c r="E18" s="246"/>
      <c r="F18" s="247"/>
      <c r="G18" s="162"/>
      <c r="H18" s="162"/>
      <c r="I18" s="162"/>
      <c r="J18" s="162"/>
      <c r="K18" s="163"/>
      <c r="L18" s="248"/>
      <c r="M18" s="162"/>
      <c r="N18" s="162"/>
      <c r="O18" s="162"/>
      <c r="P18" s="163"/>
    </row>
    <row r="19" spans="1:16" ht="11.25">
      <c r="A19" s="149" t="s">
        <v>6</v>
      </c>
      <c r="B19" s="150" t="s">
        <v>249</v>
      </c>
      <c r="C19" s="363" t="s">
        <v>291</v>
      </c>
      <c r="D19" s="364" t="s">
        <v>105</v>
      </c>
      <c r="E19" s="128">
        <v>120.6</v>
      </c>
      <c r="F19" s="140"/>
      <c r="G19" s="130"/>
      <c r="H19" s="117"/>
      <c r="I19" s="117"/>
      <c r="J19" s="117"/>
      <c r="K19" s="141"/>
      <c r="L19" s="142"/>
      <c r="M19" s="117"/>
      <c r="N19" s="117"/>
      <c r="O19" s="117"/>
      <c r="P19" s="141"/>
    </row>
    <row r="20" spans="1:16" ht="11.25">
      <c r="A20" s="149" t="s">
        <v>7</v>
      </c>
      <c r="B20" s="183" t="s">
        <v>27</v>
      </c>
      <c r="C20" s="357" t="s">
        <v>250</v>
      </c>
      <c r="D20" s="358" t="s">
        <v>101</v>
      </c>
      <c r="E20" s="359">
        <v>254.4</v>
      </c>
      <c r="F20" s="191"/>
      <c r="G20" s="130"/>
      <c r="H20" s="184"/>
      <c r="I20" s="184"/>
      <c r="J20" s="184"/>
      <c r="K20" s="185"/>
      <c r="L20" s="190"/>
      <c r="M20" s="184"/>
      <c r="N20" s="184"/>
      <c r="O20" s="184"/>
      <c r="P20" s="185"/>
    </row>
    <row r="21" spans="1:16" ht="22.5">
      <c r="A21" s="149" t="s">
        <v>8</v>
      </c>
      <c r="B21" s="183" t="s">
        <v>27</v>
      </c>
      <c r="C21" s="357" t="s">
        <v>292</v>
      </c>
      <c r="D21" s="358" t="s">
        <v>102</v>
      </c>
      <c r="E21" s="128">
        <v>367</v>
      </c>
      <c r="F21" s="191"/>
      <c r="G21" s="130"/>
      <c r="H21" s="184"/>
      <c r="I21" s="184"/>
      <c r="J21" s="184"/>
      <c r="K21" s="185"/>
      <c r="L21" s="190"/>
      <c r="M21" s="184"/>
      <c r="N21" s="184"/>
      <c r="O21" s="184"/>
      <c r="P21" s="185"/>
    </row>
    <row r="22" spans="1:16" ht="11.25">
      <c r="A22" s="149" t="s">
        <v>9</v>
      </c>
      <c r="B22" s="183" t="s">
        <v>27</v>
      </c>
      <c r="C22" s="357" t="s">
        <v>257</v>
      </c>
      <c r="D22" s="358" t="s">
        <v>102</v>
      </c>
      <c r="E22" s="128">
        <v>12</v>
      </c>
      <c r="F22" s="191"/>
      <c r="G22" s="130"/>
      <c r="H22" s="184"/>
      <c r="I22" s="184"/>
      <c r="J22" s="184"/>
      <c r="K22" s="185"/>
      <c r="L22" s="190"/>
      <c r="M22" s="184"/>
      <c r="N22" s="184"/>
      <c r="O22" s="184"/>
      <c r="P22" s="185"/>
    </row>
    <row r="23" spans="1:16" ht="11.25">
      <c r="A23" s="149" t="s">
        <v>10</v>
      </c>
      <c r="B23" s="137" t="s">
        <v>27</v>
      </c>
      <c r="C23" s="360" t="s">
        <v>251</v>
      </c>
      <c r="D23" s="138" t="s">
        <v>111</v>
      </c>
      <c r="E23" s="165">
        <v>12</v>
      </c>
      <c r="F23" s="140"/>
      <c r="G23" s="130"/>
      <c r="H23" s="117"/>
      <c r="I23" s="117"/>
      <c r="J23" s="117"/>
      <c r="K23" s="141"/>
      <c r="L23" s="142"/>
      <c r="M23" s="117"/>
      <c r="N23" s="117"/>
      <c r="O23" s="117"/>
      <c r="P23" s="141"/>
    </row>
    <row r="24" spans="1:16" ht="11.25">
      <c r="A24" s="149"/>
      <c r="B24" s="137"/>
      <c r="C24" s="120" t="s">
        <v>112</v>
      </c>
      <c r="D24" s="138" t="s">
        <v>111</v>
      </c>
      <c r="E24" s="139">
        <f>E23</f>
        <v>12</v>
      </c>
      <c r="F24" s="140"/>
      <c r="G24" s="117"/>
      <c r="H24" s="117"/>
      <c r="I24" s="130"/>
      <c r="J24" s="117"/>
      <c r="K24" s="141"/>
      <c r="L24" s="142"/>
      <c r="M24" s="117"/>
      <c r="N24" s="117"/>
      <c r="O24" s="117"/>
      <c r="P24" s="141"/>
    </row>
    <row r="25" spans="1:16" ht="11.25">
      <c r="A25" s="149" t="s">
        <v>11</v>
      </c>
      <c r="B25" s="137" t="s">
        <v>27</v>
      </c>
      <c r="C25" s="360" t="s">
        <v>252</v>
      </c>
      <c r="D25" s="138" t="s">
        <v>103</v>
      </c>
      <c r="E25" s="165">
        <v>2</v>
      </c>
      <c r="F25" s="140"/>
      <c r="G25" s="117"/>
      <c r="H25" s="117"/>
      <c r="I25" s="117"/>
      <c r="J25" s="117"/>
      <c r="K25" s="141"/>
      <c r="L25" s="142"/>
      <c r="M25" s="117"/>
      <c r="N25" s="117"/>
      <c r="O25" s="117"/>
      <c r="P25" s="141"/>
    </row>
    <row r="26" spans="1:16" ht="11.25">
      <c r="A26" s="189"/>
      <c r="B26" s="224"/>
      <c r="C26" s="120" t="s">
        <v>252</v>
      </c>
      <c r="D26" s="138" t="s">
        <v>109</v>
      </c>
      <c r="E26" s="139">
        <f>E25</f>
        <v>2</v>
      </c>
      <c r="F26" s="140"/>
      <c r="G26" s="117"/>
      <c r="H26" s="117"/>
      <c r="I26" s="117"/>
      <c r="J26" s="117"/>
      <c r="K26" s="141"/>
      <c r="L26" s="142"/>
      <c r="M26" s="117"/>
      <c r="N26" s="117"/>
      <c r="O26" s="118"/>
      <c r="P26" s="145"/>
    </row>
    <row r="27" spans="1:16" ht="22.5">
      <c r="A27" s="136">
        <v>7</v>
      </c>
      <c r="B27" s="137" t="s">
        <v>27</v>
      </c>
      <c r="C27" s="360" t="s">
        <v>344</v>
      </c>
      <c r="D27" s="138" t="s">
        <v>254</v>
      </c>
      <c r="E27" s="139">
        <v>114</v>
      </c>
      <c r="F27" s="140"/>
      <c r="G27" s="130"/>
      <c r="H27" s="117"/>
      <c r="I27" s="117"/>
      <c r="J27" s="130"/>
      <c r="K27" s="141"/>
      <c r="L27" s="142"/>
      <c r="M27" s="117"/>
      <c r="N27" s="117"/>
      <c r="O27" s="117"/>
      <c r="P27" s="141"/>
    </row>
    <row r="28" spans="1:16" ht="22.5">
      <c r="A28" s="136"/>
      <c r="B28" s="137"/>
      <c r="C28" s="123" t="s">
        <v>345</v>
      </c>
      <c r="D28" s="138" t="s">
        <v>143</v>
      </c>
      <c r="E28" s="165">
        <f>1.1*E27*0.07*0.24*2</f>
        <v>4.21344</v>
      </c>
      <c r="F28" s="140"/>
      <c r="G28" s="117"/>
      <c r="H28" s="117"/>
      <c r="I28" s="117"/>
      <c r="J28" s="117"/>
      <c r="K28" s="141"/>
      <c r="L28" s="142"/>
      <c r="M28" s="117"/>
      <c r="N28" s="117"/>
      <c r="O28" s="117"/>
      <c r="P28" s="141"/>
    </row>
    <row r="29" spans="1:16" ht="22.5">
      <c r="A29" s="136"/>
      <c r="B29" s="137"/>
      <c r="C29" s="208" t="s">
        <v>255</v>
      </c>
      <c r="D29" s="138" t="s">
        <v>1</v>
      </c>
      <c r="E29" s="139">
        <v>160</v>
      </c>
      <c r="F29" s="140"/>
      <c r="G29" s="117"/>
      <c r="H29" s="117"/>
      <c r="I29" s="117"/>
      <c r="J29" s="117"/>
      <c r="K29" s="141"/>
      <c r="L29" s="142"/>
      <c r="M29" s="117"/>
      <c r="N29" s="117"/>
      <c r="O29" s="117"/>
      <c r="P29" s="141"/>
    </row>
    <row r="30" spans="1:16" ht="11.25">
      <c r="A30" s="136"/>
      <c r="B30" s="137"/>
      <c r="C30" s="120" t="s">
        <v>256</v>
      </c>
      <c r="D30" s="138" t="s">
        <v>106</v>
      </c>
      <c r="E30" s="139">
        <f>5.3*E28</f>
        <v>22.331232</v>
      </c>
      <c r="F30" s="140"/>
      <c r="G30" s="117"/>
      <c r="H30" s="117"/>
      <c r="I30" s="117"/>
      <c r="J30" s="117"/>
      <c r="K30" s="141"/>
      <c r="L30" s="142"/>
      <c r="M30" s="117"/>
      <c r="N30" s="117"/>
      <c r="O30" s="117"/>
      <c r="P30" s="141"/>
    </row>
    <row r="31" spans="1:16" ht="22.5">
      <c r="A31" s="136">
        <v>8</v>
      </c>
      <c r="B31" s="137" t="s">
        <v>27</v>
      </c>
      <c r="C31" s="360" t="s">
        <v>293</v>
      </c>
      <c r="D31" s="138" t="s">
        <v>254</v>
      </c>
      <c r="E31" s="139">
        <v>1.12</v>
      </c>
      <c r="F31" s="140"/>
      <c r="G31" s="130"/>
      <c r="H31" s="117"/>
      <c r="I31" s="117"/>
      <c r="J31" s="130"/>
      <c r="K31" s="141"/>
      <c r="L31" s="142"/>
      <c r="M31" s="117"/>
      <c r="N31" s="117"/>
      <c r="O31" s="117"/>
      <c r="P31" s="141"/>
    </row>
    <row r="32" spans="1:16" ht="11.25">
      <c r="A32" s="136"/>
      <c r="B32" s="137"/>
      <c r="C32" s="123" t="s">
        <v>261</v>
      </c>
      <c r="D32" s="138" t="s">
        <v>143</v>
      </c>
      <c r="E32" s="165">
        <f>1.1*E31</f>
        <v>1.2320000000000002</v>
      </c>
      <c r="F32" s="140"/>
      <c r="G32" s="117"/>
      <c r="H32" s="117"/>
      <c r="I32" s="117"/>
      <c r="J32" s="117"/>
      <c r="K32" s="141"/>
      <c r="L32" s="142"/>
      <c r="M32" s="117"/>
      <c r="N32" s="117"/>
      <c r="O32" s="117"/>
      <c r="P32" s="141"/>
    </row>
    <row r="33" spans="1:16" ht="11.25">
      <c r="A33" s="136"/>
      <c r="B33" s="137"/>
      <c r="C33" s="120" t="s">
        <v>294</v>
      </c>
      <c r="D33" s="138" t="s">
        <v>103</v>
      </c>
      <c r="E33" s="139">
        <v>10</v>
      </c>
      <c r="F33" s="140"/>
      <c r="G33" s="117"/>
      <c r="H33" s="117"/>
      <c r="I33" s="117"/>
      <c r="J33" s="117"/>
      <c r="K33" s="141"/>
      <c r="L33" s="142"/>
      <c r="M33" s="117"/>
      <c r="N33" s="117"/>
      <c r="O33" s="117"/>
      <c r="P33" s="141"/>
    </row>
    <row r="34" spans="1:16" ht="22.5">
      <c r="A34" s="136"/>
      <c r="B34" s="137"/>
      <c r="C34" s="123" t="s">
        <v>295</v>
      </c>
      <c r="D34" s="138" t="s">
        <v>103</v>
      </c>
      <c r="E34" s="139">
        <v>10</v>
      </c>
      <c r="F34" s="140"/>
      <c r="G34" s="117"/>
      <c r="H34" s="117"/>
      <c r="I34" s="117"/>
      <c r="J34" s="117"/>
      <c r="K34" s="141"/>
      <c r="L34" s="142"/>
      <c r="M34" s="117"/>
      <c r="N34" s="117"/>
      <c r="O34" s="117"/>
      <c r="P34" s="141"/>
    </row>
    <row r="35" spans="1:16" ht="11.25">
      <c r="A35" s="136"/>
      <c r="B35" s="137"/>
      <c r="C35" s="120" t="s">
        <v>296</v>
      </c>
      <c r="D35" s="138" t="s">
        <v>103</v>
      </c>
      <c r="E35" s="139">
        <v>10</v>
      </c>
      <c r="F35" s="140"/>
      <c r="G35" s="117"/>
      <c r="H35" s="117"/>
      <c r="I35" s="117"/>
      <c r="J35" s="117"/>
      <c r="K35" s="141"/>
      <c r="L35" s="142"/>
      <c r="M35" s="117"/>
      <c r="N35" s="117"/>
      <c r="O35" s="117"/>
      <c r="P35" s="141"/>
    </row>
    <row r="36" spans="1:16" ht="11.25">
      <c r="A36" s="136"/>
      <c r="B36" s="137"/>
      <c r="C36" s="120" t="s">
        <v>256</v>
      </c>
      <c r="D36" s="138" t="s">
        <v>106</v>
      </c>
      <c r="E36" s="139">
        <f>5.3*E31</f>
        <v>5.936</v>
      </c>
      <c r="F36" s="140"/>
      <c r="G36" s="117"/>
      <c r="H36" s="117"/>
      <c r="I36" s="117"/>
      <c r="J36" s="117"/>
      <c r="K36" s="141"/>
      <c r="L36" s="142"/>
      <c r="M36" s="117"/>
      <c r="N36" s="117"/>
      <c r="O36" s="117"/>
      <c r="P36" s="141"/>
    </row>
    <row r="37" spans="1:16" ht="11.25">
      <c r="A37" s="136"/>
      <c r="B37" s="137"/>
      <c r="C37" s="120" t="s">
        <v>297</v>
      </c>
      <c r="D37" s="138" t="s">
        <v>229</v>
      </c>
      <c r="E37" s="139">
        <f>1*E31</f>
        <v>1.12</v>
      </c>
      <c r="F37" s="140"/>
      <c r="G37" s="117"/>
      <c r="H37" s="117"/>
      <c r="I37" s="117"/>
      <c r="J37" s="117"/>
      <c r="K37" s="141"/>
      <c r="L37" s="142"/>
      <c r="M37" s="117"/>
      <c r="N37" s="117"/>
      <c r="O37" s="117"/>
      <c r="P37" s="141"/>
    </row>
    <row r="38" spans="1:16" ht="11.25">
      <c r="A38" s="149"/>
      <c r="B38" s="150"/>
      <c r="C38" s="120" t="s">
        <v>298</v>
      </c>
      <c r="D38" s="138" t="s">
        <v>103</v>
      </c>
      <c r="E38" s="139">
        <f>E31*2.1/15</f>
        <v>0.15680000000000002</v>
      </c>
      <c r="F38" s="140"/>
      <c r="G38" s="117"/>
      <c r="H38" s="117"/>
      <c r="I38" s="117"/>
      <c r="J38" s="117"/>
      <c r="K38" s="141"/>
      <c r="L38" s="142"/>
      <c r="M38" s="117"/>
      <c r="N38" s="117"/>
      <c r="O38" s="117"/>
      <c r="P38" s="141"/>
    </row>
    <row r="39" spans="1:16" ht="11.25">
      <c r="A39" s="124">
        <v>9</v>
      </c>
      <c r="B39" s="125" t="s">
        <v>145</v>
      </c>
      <c r="C39" s="126" t="s">
        <v>299</v>
      </c>
      <c r="D39" s="127" t="s">
        <v>105</v>
      </c>
      <c r="E39" s="128">
        <v>192.84</v>
      </c>
      <c r="F39" s="129"/>
      <c r="G39" s="130"/>
      <c r="H39" s="130"/>
      <c r="I39" s="130"/>
      <c r="J39" s="130"/>
      <c r="K39" s="131"/>
      <c r="L39" s="132"/>
      <c r="M39" s="130"/>
      <c r="N39" s="130"/>
      <c r="O39" s="130"/>
      <c r="P39" s="131"/>
    </row>
    <row r="40" spans="1:16" ht="11.25">
      <c r="A40" s="124"/>
      <c r="B40" s="133"/>
      <c r="C40" s="134" t="s">
        <v>300</v>
      </c>
      <c r="D40" s="127" t="s">
        <v>143</v>
      </c>
      <c r="E40" s="128">
        <f>E39*(75/750)*0.075*1.1</f>
        <v>1.5909300000000002</v>
      </c>
      <c r="F40" s="129"/>
      <c r="G40" s="130"/>
      <c r="H40" s="130"/>
      <c r="I40" s="130"/>
      <c r="J40" s="130"/>
      <c r="K40" s="131"/>
      <c r="L40" s="132"/>
      <c r="M40" s="130"/>
      <c r="N40" s="130"/>
      <c r="O40" s="130"/>
      <c r="P40" s="131"/>
    </row>
    <row r="41" spans="1:16" ht="11.25">
      <c r="A41" s="124"/>
      <c r="B41" s="133"/>
      <c r="C41" s="134" t="s">
        <v>253</v>
      </c>
      <c r="D41" s="127" t="s">
        <v>106</v>
      </c>
      <c r="E41" s="128">
        <f>((E39/0.3)*4.44)/1000</f>
        <v>2.8540320000000006</v>
      </c>
      <c r="F41" s="129"/>
      <c r="G41" s="130"/>
      <c r="H41" s="130"/>
      <c r="I41" s="130"/>
      <c r="J41" s="130"/>
      <c r="K41" s="131"/>
      <c r="L41" s="132"/>
      <c r="M41" s="130"/>
      <c r="N41" s="130"/>
      <c r="O41" s="130"/>
      <c r="P41" s="131"/>
    </row>
    <row r="42" spans="1:16" ht="22.5">
      <c r="A42" s="157" t="s">
        <v>166</v>
      </c>
      <c r="B42" s="125" t="s">
        <v>228</v>
      </c>
      <c r="C42" s="126" t="s">
        <v>301</v>
      </c>
      <c r="D42" s="127" t="s">
        <v>105</v>
      </c>
      <c r="E42" s="128">
        <v>192.84</v>
      </c>
      <c r="F42" s="129"/>
      <c r="G42" s="130"/>
      <c r="H42" s="130"/>
      <c r="I42" s="130"/>
      <c r="J42" s="117"/>
      <c r="K42" s="131"/>
      <c r="L42" s="132"/>
      <c r="M42" s="130"/>
      <c r="N42" s="130"/>
      <c r="O42" s="130"/>
      <c r="P42" s="131"/>
    </row>
    <row r="43" spans="1:16" ht="11.25">
      <c r="A43" s="157"/>
      <c r="B43" s="125"/>
      <c r="C43" s="134" t="s">
        <v>302</v>
      </c>
      <c r="D43" s="127" t="s">
        <v>102</v>
      </c>
      <c r="E43" s="128">
        <f>1.05*E42</f>
        <v>202.482</v>
      </c>
      <c r="F43" s="129"/>
      <c r="G43" s="130"/>
      <c r="H43" s="130"/>
      <c r="I43" s="130"/>
      <c r="J43" s="130"/>
      <c r="K43" s="131"/>
      <c r="L43" s="132"/>
      <c r="M43" s="130"/>
      <c r="N43" s="130"/>
      <c r="O43" s="130"/>
      <c r="P43" s="131"/>
    </row>
    <row r="44" spans="1:16" ht="11.25">
      <c r="A44" s="157"/>
      <c r="B44" s="125"/>
      <c r="C44" s="134" t="s">
        <v>107</v>
      </c>
      <c r="D44" s="127" t="s">
        <v>103</v>
      </c>
      <c r="E44" s="128">
        <f>10*E42</f>
        <v>1928.4</v>
      </c>
      <c r="F44" s="129"/>
      <c r="G44" s="130"/>
      <c r="H44" s="130"/>
      <c r="I44" s="130"/>
      <c r="J44" s="130"/>
      <c r="K44" s="131"/>
      <c r="L44" s="132"/>
      <c r="M44" s="130"/>
      <c r="N44" s="130"/>
      <c r="O44" s="130"/>
      <c r="P44" s="131"/>
    </row>
    <row r="45" spans="1:16" ht="11.25">
      <c r="A45" s="124">
        <v>11</v>
      </c>
      <c r="B45" s="133" t="s">
        <v>219</v>
      </c>
      <c r="C45" s="365" t="s">
        <v>258</v>
      </c>
      <c r="D45" s="151" t="s">
        <v>101</v>
      </c>
      <c r="E45" s="128">
        <v>97.8</v>
      </c>
      <c r="F45" s="129"/>
      <c r="G45" s="130"/>
      <c r="H45" s="130"/>
      <c r="I45" s="130"/>
      <c r="J45" s="130"/>
      <c r="K45" s="131"/>
      <c r="L45" s="132"/>
      <c r="M45" s="130"/>
      <c r="N45" s="130"/>
      <c r="O45" s="130"/>
      <c r="P45" s="131"/>
    </row>
    <row r="46" spans="1:16" ht="11.25">
      <c r="A46" s="152"/>
      <c r="B46" s="153"/>
      <c r="C46" s="154" t="s">
        <v>303</v>
      </c>
      <c r="D46" s="151" t="s">
        <v>2</v>
      </c>
      <c r="E46" s="258">
        <f>1.1*E45</f>
        <v>107.58000000000001</v>
      </c>
      <c r="F46" s="129"/>
      <c r="G46" s="155"/>
      <c r="H46" s="155"/>
      <c r="I46" s="130"/>
      <c r="J46" s="155"/>
      <c r="K46" s="156"/>
      <c r="L46" s="260"/>
      <c r="M46" s="155"/>
      <c r="N46" s="130"/>
      <c r="O46" s="155"/>
      <c r="P46" s="156"/>
    </row>
    <row r="47" spans="1:16" ht="11.25">
      <c r="A47" s="152"/>
      <c r="B47" s="153"/>
      <c r="C47" s="154" t="s">
        <v>220</v>
      </c>
      <c r="D47" s="151" t="s">
        <v>103</v>
      </c>
      <c r="E47" s="258">
        <v>4</v>
      </c>
      <c r="F47" s="129"/>
      <c r="G47" s="155"/>
      <c r="H47" s="155"/>
      <c r="I47" s="130"/>
      <c r="J47" s="155"/>
      <c r="K47" s="156"/>
      <c r="L47" s="260"/>
      <c r="M47" s="155"/>
      <c r="N47" s="130"/>
      <c r="O47" s="155"/>
      <c r="P47" s="156"/>
    </row>
    <row r="48" spans="1:16" ht="11.25">
      <c r="A48" s="152"/>
      <c r="B48" s="153"/>
      <c r="C48" s="154" t="s">
        <v>304</v>
      </c>
      <c r="D48" s="151" t="s">
        <v>103</v>
      </c>
      <c r="E48" s="258">
        <f>E45/0.7</f>
        <v>139.71428571428572</v>
      </c>
      <c r="F48" s="129"/>
      <c r="G48" s="155"/>
      <c r="H48" s="155"/>
      <c r="I48" s="130"/>
      <c r="J48" s="155"/>
      <c r="K48" s="156"/>
      <c r="L48" s="260"/>
      <c r="M48" s="155"/>
      <c r="N48" s="130"/>
      <c r="O48" s="155"/>
      <c r="P48" s="156"/>
    </row>
    <row r="49" spans="1:16" ht="11.25">
      <c r="A49" s="152"/>
      <c r="B49" s="153"/>
      <c r="C49" s="154" t="s">
        <v>107</v>
      </c>
      <c r="D49" s="151" t="s">
        <v>103</v>
      </c>
      <c r="E49" s="258">
        <f>E48*2</f>
        <v>279.42857142857144</v>
      </c>
      <c r="F49" s="129"/>
      <c r="G49" s="155"/>
      <c r="H49" s="155"/>
      <c r="I49" s="130"/>
      <c r="J49" s="155"/>
      <c r="K49" s="156"/>
      <c r="L49" s="260"/>
      <c r="M49" s="155"/>
      <c r="N49" s="130"/>
      <c r="O49" s="155"/>
      <c r="P49" s="156"/>
    </row>
    <row r="50" spans="1:16" ht="11.25">
      <c r="A50" s="152"/>
      <c r="B50" s="153"/>
      <c r="C50" s="154" t="s">
        <v>221</v>
      </c>
      <c r="D50" s="151" t="s">
        <v>103</v>
      </c>
      <c r="E50" s="258">
        <v>4</v>
      </c>
      <c r="F50" s="129"/>
      <c r="G50" s="155"/>
      <c r="H50" s="155"/>
      <c r="I50" s="130"/>
      <c r="J50" s="155"/>
      <c r="K50" s="156"/>
      <c r="L50" s="260"/>
      <c r="M50" s="155"/>
      <c r="N50" s="130"/>
      <c r="O50" s="155"/>
      <c r="P50" s="156"/>
    </row>
    <row r="51" spans="1:16" ht="11.25">
      <c r="A51" s="124">
        <v>12</v>
      </c>
      <c r="B51" s="133" t="s">
        <v>222</v>
      </c>
      <c r="C51" s="365" t="s">
        <v>259</v>
      </c>
      <c r="D51" s="151" t="s">
        <v>101</v>
      </c>
      <c r="E51" s="258">
        <v>150</v>
      </c>
      <c r="F51" s="366"/>
      <c r="G51" s="130"/>
      <c r="H51" s="130"/>
      <c r="I51" s="130"/>
      <c r="J51" s="130"/>
      <c r="K51" s="131"/>
      <c r="L51" s="132"/>
      <c r="M51" s="130"/>
      <c r="N51" s="130"/>
      <c r="O51" s="130"/>
      <c r="P51" s="131"/>
    </row>
    <row r="52" spans="1:16" ht="12">
      <c r="A52" s="152"/>
      <c r="B52" s="153"/>
      <c r="C52" s="154" t="s">
        <v>272</v>
      </c>
      <c r="D52" s="151" t="s">
        <v>103</v>
      </c>
      <c r="E52" s="258">
        <v>10</v>
      </c>
      <c r="F52" s="264"/>
      <c r="G52" s="155"/>
      <c r="H52" s="155"/>
      <c r="I52" s="130"/>
      <c r="J52" s="155"/>
      <c r="K52" s="156"/>
      <c r="L52" s="260"/>
      <c r="M52" s="155"/>
      <c r="N52" s="130"/>
      <c r="O52" s="155"/>
      <c r="P52" s="156"/>
    </row>
    <row r="53" spans="1:16" ht="12">
      <c r="A53" s="157"/>
      <c r="B53" s="133"/>
      <c r="C53" s="154" t="s">
        <v>223</v>
      </c>
      <c r="D53" s="151" t="s">
        <v>101</v>
      </c>
      <c r="E53" s="258">
        <f>(E51-(E52*2))*1.1</f>
        <v>143</v>
      </c>
      <c r="F53" s="264"/>
      <c r="G53" s="130"/>
      <c r="H53" s="130"/>
      <c r="I53" s="130"/>
      <c r="J53" s="130"/>
      <c r="K53" s="131"/>
      <c r="L53" s="132"/>
      <c r="M53" s="130"/>
      <c r="N53" s="130"/>
      <c r="O53" s="130"/>
      <c r="P53" s="131"/>
    </row>
    <row r="54" spans="1:16" ht="12">
      <c r="A54" s="157"/>
      <c r="B54" s="133"/>
      <c r="C54" s="154" t="s">
        <v>224</v>
      </c>
      <c r="D54" s="151" t="s">
        <v>103</v>
      </c>
      <c r="E54" s="258">
        <f>E52</f>
        <v>10</v>
      </c>
      <c r="F54" s="264"/>
      <c r="G54" s="130"/>
      <c r="H54" s="130"/>
      <c r="I54" s="130"/>
      <c r="J54" s="130"/>
      <c r="K54" s="131"/>
      <c r="L54" s="132"/>
      <c r="M54" s="130"/>
      <c r="N54" s="130"/>
      <c r="O54" s="130"/>
      <c r="P54" s="131"/>
    </row>
    <row r="55" spans="1:16" ht="12">
      <c r="A55" s="157"/>
      <c r="B55" s="133"/>
      <c r="C55" s="154" t="s">
        <v>225</v>
      </c>
      <c r="D55" s="151" t="s">
        <v>103</v>
      </c>
      <c r="E55" s="258">
        <f>E52</f>
        <v>10</v>
      </c>
      <c r="F55" s="264"/>
      <c r="G55" s="130"/>
      <c r="H55" s="130"/>
      <c r="I55" s="130"/>
      <c r="J55" s="130"/>
      <c r="K55" s="131"/>
      <c r="L55" s="132"/>
      <c r="M55" s="130"/>
      <c r="N55" s="130"/>
      <c r="O55" s="130"/>
      <c r="P55" s="131"/>
    </row>
    <row r="56" spans="1:16" ht="12">
      <c r="A56" s="157"/>
      <c r="B56" s="133"/>
      <c r="C56" s="154" t="s">
        <v>226</v>
      </c>
      <c r="D56" s="151" t="s">
        <v>103</v>
      </c>
      <c r="E56" s="258">
        <f>E52</f>
        <v>10</v>
      </c>
      <c r="F56" s="264"/>
      <c r="G56" s="130"/>
      <c r="H56" s="130"/>
      <c r="I56" s="130"/>
      <c r="J56" s="130"/>
      <c r="K56" s="131"/>
      <c r="L56" s="132"/>
      <c r="M56" s="130"/>
      <c r="N56" s="130"/>
      <c r="O56" s="130"/>
      <c r="P56" s="131"/>
    </row>
    <row r="57" spans="1:16" ht="12">
      <c r="A57" s="157"/>
      <c r="B57" s="133"/>
      <c r="C57" s="154" t="s">
        <v>227</v>
      </c>
      <c r="D57" s="151" t="s">
        <v>103</v>
      </c>
      <c r="E57" s="258">
        <f>E51</f>
        <v>150</v>
      </c>
      <c r="F57" s="264"/>
      <c r="G57" s="130"/>
      <c r="H57" s="130"/>
      <c r="I57" s="130"/>
      <c r="J57" s="130"/>
      <c r="K57" s="131"/>
      <c r="L57" s="132"/>
      <c r="M57" s="130"/>
      <c r="N57" s="130"/>
      <c r="O57" s="130"/>
      <c r="P57" s="131"/>
    </row>
    <row r="58" spans="1:16" ht="11.25">
      <c r="A58" s="157"/>
      <c r="B58" s="133"/>
      <c r="C58" s="154" t="s">
        <v>221</v>
      </c>
      <c r="D58" s="151" t="s">
        <v>103</v>
      </c>
      <c r="E58" s="258">
        <v>4</v>
      </c>
      <c r="F58" s="129"/>
      <c r="G58" s="130"/>
      <c r="H58" s="130"/>
      <c r="I58" s="130"/>
      <c r="J58" s="130"/>
      <c r="K58" s="131"/>
      <c r="L58" s="132"/>
      <c r="M58" s="130"/>
      <c r="N58" s="130"/>
      <c r="O58" s="130"/>
      <c r="P58" s="131"/>
    </row>
    <row r="59" spans="1:16" ht="11.25">
      <c r="A59" s="228">
        <v>13</v>
      </c>
      <c r="B59" s="225" t="s">
        <v>260</v>
      </c>
      <c r="C59" s="367" t="s">
        <v>273</v>
      </c>
      <c r="D59" s="221" t="s">
        <v>102</v>
      </c>
      <c r="E59" s="257">
        <v>95.04</v>
      </c>
      <c r="F59" s="263"/>
      <c r="G59" s="130"/>
      <c r="H59" s="186"/>
      <c r="I59" s="186"/>
      <c r="J59" s="130"/>
      <c r="K59" s="222"/>
      <c r="L59" s="261"/>
      <c r="M59" s="186"/>
      <c r="N59" s="186"/>
      <c r="O59" s="186"/>
      <c r="P59" s="222"/>
    </row>
    <row r="60" spans="1:16" ht="11.25">
      <c r="A60" s="228"/>
      <c r="B60" s="225"/>
      <c r="C60" s="223" t="s">
        <v>261</v>
      </c>
      <c r="D60" s="221" t="s">
        <v>143</v>
      </c>
      <c r="E60" s="257">
        <f>0.01*E59</f>
        <v>0.9504000000000001</v>
      </c>
      <c r="F60" s="263"/>
      <c r="G60" s="186"/>
      <c r="H60" s="186"/>
      <c r="I60" s="186"/>
      <c r="J60" s="186"/>
      <c r="K60" s="222"/>
      <c r="L60" s="261"/>
      <c r="M60" s="186"/>
      <c r="N60" s="186"/>
      <c r="O60" s="186"/>
      <c r="P60" s="222"/>
    </row>
    <row r="61" spans="1:16" ht="11.25">
      <c r="A61" s="228"/>
      <c r="B61" s="225"/>
      <c r="C61" s="223" t="s">
        <v>262</v>
      </c>
      <c r="D61" s="221" t="s">
        <v>102</v>
      </c>
      <c r="E61" s="257">
        <f>E59*1.05</f>
        <v>99.79200000000002</v>
      </c>
      <c r="F61" s="263"/>
      <c r="G61" s="186"/>
      <c r="H61" s="186"/>
      <c r="I61" s="186"/>
      <c r="J61" s="186"/>
      <c r="K61" s="222"/>
      <c r="L61" s="261"/>
      <c r="M61" s="186"/>
      <c r="N61" s="186"/>
      <c r="O61" s="186"/>
      <c r="P61" s="222"/>
    </row>
    <row r="62" spans="1:16" ht="22.5">
      <c r="A62" s="228"/>
      <c r="B62" s="225"/>
      <c r="C62" s="236" t="s">
        <v>211</v>
      </c>
      <c r="D62" s="221" t="s">
        <v>229</v>
      </c>
      <c r="E62" s="257">
        <f>(E59*25)/100</f>
        <v>23.76</v>
      </c>
      <c r="F62" s="263"/>
      <c r="G62" s="186"/>
      <c r="H62" s="186"/>
      <c r="I62" s="186"/>
      <c r="J62" s="186"/>
      <c r="K62" s="222"/>
      <c r="L62" s="261"/>
      <c r="M62" s="186"/>
      <c r="N62" s="186"/>
      <c r="O62" s="186"/>
      <c r="P62" s="222"/>
    </row>
    <row r="63" spans="1:16" ht="22.5">
      <c r="A63" s="228">
        <v>14</v>
      </c>
      <c r="B63" s="225" t="s">
        <v>27</v>
      </c>
      <c r="C63" s="367" t="s">
        <v>274</v>
      </c>
      <c r="D63" s="221" t="s">
        <v>102</v>
      </c>
      <c r="E63" s="257">
        <v>95.04</v>
      </c>
      <c r="F63" s="263"/>
      <c r="G63" s="130"/>
      <c r="H63" s="186"/>
      <c r="I63" s="186"/>
      <c r="J63" s="130"/>
      <c r="K63" s="222"/>
      <c r="L63" s="261"/>
      <c r="M63" s="186"/>
      <c r="N63" s="186"/>
      <c r="O63" s="186"/>
      <c r="P63" s="222"/>
    </row>
    <row r="64" spans="1:16" ht="11.25">
      <c r="A64" s="228"/>
      <c r="B64" s="225"/>
      <c r="C64" s="223" t="s">
        <v>263</v>
      </c>
      <c r="D64" s="221" t="s">
        <v>103</v>
      </c>
      <c r="E64" s="257">
        <f>(E63*0.15)/10</f>
        <v>1.4256</v>
      </c>
      <c r="F64" s="263"/>
      <c r="G64" s="186"/>
      <c r="H64" s="186"/>
      <c r="I64" s="186"/>
      <c r="J64" s="186"/>
      <c r="K64" s="222"/>
      <c r="L64" s="261"/>
      <c r="M64" s="186"/>
      <c r="N64" s="186"/>
      <c r="O64" s="186"/>
      <c r="P64" s="222"/>
    </row>
    <row r="65" spans="1:16" ht="11.25">
      <c r="A65" s="228"/>
      <c r="B65" s="225"/>
      <c r="C65" s="223" t="s">
        <v>264</v>
      </c>
      <c r="D65" s="221" t="s">
        <v>103</v>
      </c>
      <c r="E65" s="257">
        <f>(E63*0.2)/10</f>
        <v>1.9008000000000003</v>
      </c>
      <c r="F65" s="263"/>
      <c r="G65" s="186"/>
      <c r="H65" s="186"/>
      <c r="I65" s="186"/>
      <c r="J65" s="186"/>
      <c r="K65" s="222"/>
      <c r="L65" s="261"/>
      <c r="M65" s="186"/>
      <c r="N65" s="186"/>
      <c r="O65" s="186"/>
      <c r="P65" s="222"/>
    </row>
    <row r="66" spans="1:16" ht="33.75">
      <c r="A66" s="149" t="s">
        <v>231</v>
      </c>
      <c r="B66" s="150" t="s">
        <v>27</v>
      </c>
      <c r="C66" s="360" t="s">
        <v>311</v>
      </c>
      <c r="D66" s="138" t="s">
        <v>105</v>
      </c>
      <c r="E66" s="139">
        <v>9</v>
      </c>
      <c r="F66" s="140"/>
      <c r="G66" s="117"/>
      <c r="H66" s="117"/>
      <c r="I66" s="117"/>
      <c r="J66" s="117"/>
      <c r="K66" s="141"/>
      <c r="L66" s="142"/>
      <c r="M66" s="117"/>
      <c r="N66" s="117"/>
      <c r="O66" s="117"/>
      <c r="P66" s="141"/>
    </row>
    <row r="67" spans="1:16" ht="11.25">
      <c r="A67" s="149"/>
      <c r="B67" s="150"/>
      <c r="C67" s="120" t="s">
        <v>83</v>
      </c>
      <c r="D67" s="138" t="s">
        <v>102</v>
      </c>
      <c r="E67" s="139">
        <f>E66</f>
        <v>9</v>
      </c>
      <c r="F67" s="140"/>
      <c r="G67" s="117"/>
      <c r="H67" s="117"/>
      <c r="I67" s="117"/>
      <c r="J67" s="117"/>
      <c r="K67" s="141"/>
      <c r="L67" s="142"/>
      <c r="M67" s="117"/>
      <c r="N67" s="117"/>
      <c r="O67" s="117"/>
      <c r="P67" s="141"/>
    </row>
    <row r="68" spans="1:16" ht="56.25">
      <c r="A68" s="149" t="s">
        <v>232</v>
      </c>
      <c r="B68" s="150" t="s">
        <v>27</v>
      </c>
      <c r="C68" s="360" t="s">
        <v>305</v>
      </c>
      <c r="D68" s="138" t="s">
        <v>105</v>
      </c>
      <c r="E68" s="139">
        <v>9</v>
      </c>
      <c r="F68" s="140"/>
      <c r="G68" s="117"/>
      <c r="H68" s="117"/>
      <c r="I68" s="117"/>
      <c r="J68" s="117"/>
      <c r="K68" s="141"/>
      <c r="L68" s="142"/>
      <c r="M68" s="117"/>
      <c r="N68" s="117"/>
      <c r="O68" s="117"/>
      <c r="P68" s="141"/>
    </row>
    <row r="69" spans="1:16" ht="11.25">
      <c r="A69" s="149"/>
      <c r="B69" s="150"/>
      <c r="C69" s="120" t="s">
        <v>306</v>
      </c>
      <c r="D69" s="138" t="s">
        <v>106</v>
      </c>
      <c r="E69" s="139">
        <f>E68*0.2*1.1</f>
        <v>1.9800000000000002</v>
      </c>
      <c r="F69" s="140"/>
      <c r="G69" s="117"/>
      <c r="H69" s="117"/>
      <c r="I69" s="117"/>
      <c r="J69" s="117"/>
      <c r="K69" s="141"/>
      <c r="L69" s="142"/>
      <c r="M69" s="117"/>
      <c r="N69" s="117"/>
      <c r="O69" s="117"/>
      <c r="P69" s="141"/>
    </row>
    <row r="70" spans="1:16" ht="11.25">
      <c r="A70" s="149"/>
      <c r="B70" s="150"/>
      <c r="C70" s="120" t="s">
        <v>281</v>
      </c>
      <c r="D70" s="138" t="s">
        <v>0</v>
      </c>
      <c r="E70" s="139">
        <v>1</v>
      </c>
      <c r="F70" s="140"/>
      <c r="G70" s="117"/>
      <c r="H70" s="117"/>
      <c r="I70" s="117"/>
      <c r="J70" s="117"/>
      <c r="K70" s="141"/>
      <c r="L70" s="142"/>
      <c r="M70" s="117"/>
      <c r="N70" s="117"/>
      <c r="O70" s="117"/>
      <c r="P70" s="141"/>
    </row>
    <row r="71" spans="1:16" ht="56.25">
      <c r="A71" s="149" t="s">
        <v>233</v>
      </c>
      <c r="B71" s="150" t="s">
        <v>27</v>
      </c>
      <c r="C71" s="360" t="s">
        <v>307</v>
      </c>
      <c r="D71" s="138" t="s">
        <v>105</v>
      </c>
      <c r="E71" s="139">
        <v>9</v>
      </c>
      <c r="F71" s="140"/>
      <c r="G71" s="117"/>
      <c r="H71" s="117"/>
      <c r="I71" s="117"/>
      <c r="J71" s="117"/>
      <c r="K71" s="141"/>
      <c r="L71" s="142"/>
      <c r="M71" s="117"/>
      <c r="N71" s="117"/>
      <c r="O71" s="117"/>
      <c r="P71" s="141"/>
    </row>
    <row r="72" spans="1:16" ht="11.25">
      <c r="A72" s="149"/>
      <c r="B72" s="150"/>
      <c r="C72" s="120" t="s">
        <v>308</v>
      </c>
      <c r="D72" s="138" t="s">
        <v>106</v>
      </c>
      <c r="E72" s="139">
        <f>E71*1.35*1.1</f>
        <v>13.365000000000002</v>
      </c>
      <c r="F72" s="140"/>
      <c r="G72" s="117"/>
      <c r="H72" s="117"/>
      <c r="I72" s="117"/>
      <c r="J72" s="117"/>
      <c r="K72" s="141"/>
      <c r="L72" s="142"/>
      <c r="M72" s="117"/>
      <c r="N72" s="117"/>
      <c r="O72" s="117"/>
      <c r="P72" s="141"/>
    </row>
    <row r="73" spans="1:16" ht="11.25">
      <c r="A73" s="149"/>
      <c r="B73" s="150"/>
      <c r="C73" s="120" t="s">
        <v>281</v>
      </c>
      <c r="D73" s="138" t="s">
        <v>0</v>
      </c>
      <c r="E73" s="139">
        <v>1</v>
      </c>
      <c r="F73" s="140"/>
      <c r="G73" s="117"/>
      <c r="H73" s="117"/>
      <c r="I73" s="117"/>
      <c r="J73" s="117"/>
      <c r="K73" s="141"/>
      <c r="L73" s="142"/>
      <c r="M73" s="117"/>
      <c r="N73" s="117"/>
      <c r="O73" s="117"/>
      <c r="P73" s="141"/>
    </row>
    <row r="74" spans="1:16" ht="22.5">
      <c r="A74" s="189">
        <v>18</v>
      </c>
      <c r="B74" s="240" t="s">
        <v>309</v>
      </c>
      <c r="C74" s="368" t="s">
        <v>312</v>
      </c>
      <c r="D74" s="369" t="s">
        <v>2</v>
      </c>
      <c r="E74" s="370">
        <v>25.5</v>
      </c>
      <c r="F74" s="371"/>
      <c r="G74" s="117"/>
      <c r="H74" s="118"/>
      <c r="I74" s="118"/>
      <c r="J74" s="118"/>
      <c r="K74" s="145"/>
      <c r="L74" s="146"/>
      <c r="M74" s="118"/>
      <c r="N74" s="118"/>
      <c r="O74" s="118"/>
      <c r="P74" s="145"/>
    </row>
    <row r="75" spans="1:16" ht="12">
      <c r="A75" s="372"/>
      <c r="B75" s="240"/>
      <c r="C75" s="373" t="s">
        <v>313</v>
      </c>
      <c r="D75" s="369" t="s">
        <v>2</v>
      </c>
      <c r="E75" s="370">
        <f>E74*1.1</f>
        <v>28.05</v>
      </c>
      <c r="F75" s="374"/>
      <c r="G75" s="118"/>
      <c r="H75" s="118"/>
      <c r="I75" s="117"/>
      <c r="J75" s="118"/>
      <c r="K75" s="145"/>
      <c r="L75" s="146"/>
      <c r="M75" s="118"/>
      <c r="N75" s="118"/>
      <c r="O75" s="118"/>
      <c r="P75" s="145"/>
    </row>
    <row r="76" spans="1:16" ht="12">
      <c r="A76" s="372"/>
      <c r="B76" s="240"/>
      <c r="C76" s="373" t="s">
        <v>107</v>
      </c>
      <c r="D76" s="369" t="s">
        <v>103</v>
      </c>
      <c r="E76" s="370">
        <f>5*E74</f>
        <v>127.5</v>
      </c>
      <c r="F76" s="374"/>
      <c r="G76" s="118"/>
      <c r="H76" s="118"/>
      <c r="I76" s="117"/>
      <c r="J76" s="118"/>
      <c r="K76" s="145"/>
      <c r="L76" s="146"/>
      <c r="M76" s="118"/>
      <c r="N76" s="118"/>
      <c r="O76" s="118"/>
      <c r="P76" s="145"/>
    </row>
    <row r="77" spans="1:16" ht="22.5">
      <c r="A77" s="372"/>
      <c r="B77" s="240"/>
      <c r="C77" s="123" t="s">
        <v>310</v>
      </c>
      <c r="D77" s="369" t="s">
        <v>103</v>
      </c>
      <c r="E77" s="370">
        <v>1</v>
      </c>
      <c r="F77" s="374"/>
      <c r="G77" s="118"/>
      <c r="H77" s="118"/>
      <c r="I77" s="117"/>
      <c r="J77" s="118"/>
      <c r="K77" s="145"/>
      <c r="L77" s="146"/>
      <c r="M77" s="118"/>
      <c r="N77" s="118"/>
      <c r="O77" s="118"/>
      <c r="P77" s="145"/>
    </row>
    <row r="78" spans="1:16" ht="12" thickBot="1">
      <c r="A78" s="229"/>
      <c r="B78" s="230"/>
      <c r="C78" s="231"/>
      <c r="D78" s="232"/>
      <c r="E78" s="259"/>
      <c r="F78" s="265"/>
      <c r="G78" s="233"/>
      <c r="H78" s="233"/>
      <c r="I78" s="233"/>
      <c r="J78" s="233"/>
      <c r="K78" s="234"/>
      <c r="L78" s="262"/>
      <c r="M78" s="233"/>
      <c r="N78" s="233"/>
      <c r="O78" s="233"/>
      <c r="P78" s="234"/>
    </row>
    <row r="79" spans="1:16" ht="12" thickBot="1">
      <c r="A79" s="488" t="s">
        <v>5</v>
      </c>
      <c r="B79" s="489"/>
      <c r="C79" s="489"/>
      <c r="D79" s="489"/>
      <c r="E79" s="489"/>
      <c r="F79" s="489"/>
      <c r="G79" s="489"/>
      <c r="H79" s="489"/>
      <c r="I79" s="489"/>
      <c r="J79" s="489"/>
      <c r="K79" s="490"/>
      <c r="L79" s="296"/>
      <c r="M79" s="297"/>
      <c r="N79" s="297"/>
      <c r="O79" s="297"/>
      <c r="P79" s="298"/>
    </row>
    <row r="80" spans="1:16" ht="12" thickBot="1">
      <c r="A80" s="491" t="s">
        <v>506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3"/>
      <c r="L80" s="299"/>
      <c r="M80" s="300"/>
      <c r="N80" s="300"/>
      <c r="O80" s="300"/>
      <c r="P80" s="301"/>
    </row>
    <row r="81" spans="1:16" ht="12" thickBot="1">
      <c r="A81" s="485" t="s">
        <v>5</v>
      </c>
      <c r="B81" s="486"/>
      <c r="C81" s="486"/>
      <c r="D81" s="486"/>
      <c r="E81" s="486"/>
      <c r="F81" s="486"/>
      <c r="G81" s="486"/>
      <c r="H81" s="486"/>
      <c r="I81" s="486"/>
      <c r="J81" s="486"/>
      <c r="K81" s="487"/>
      <c r="L81" s="302"/>
      <c r="M81" s="303"/>
      <c r="N81" s="303"/>
      <c r="O81" s="303"/>
      <c r="P81" s="304"/>
    </row>
    <row r="84" spans="1:8" ht="11.25">
      <c r="A84" s="305" t="s">
        <v>507</v>
      </c>
      <c r="B84" s="306"/>
      <c r="H84" s="305" t="s">
        <v>503</v>
      </c>
    </row>
    <row r="85" ht="11.25">
      <c r="F85" s="308"/>
    </row>
  </sheetData>
  <sheetProtection/>
  <mergeCells count="16">
    <mergeCell ref="A1:P1"/>
    <mergeCell ref="A2:P3"/>
    <mergeCell ref="A5:P5"/>
    <mergeCell ref="A6:P6"/>
    <mergeCell ref="L12:N12"/>
    <mergeCell ref="E16:E17"/>
    <mergeCell ref="F16:K16"/>
    <mergeCell ref="L16:P16"/>
    <mergeCell ref="O12:P12"/>
    <mergeCell ref="A81:K81"/>
    <mergeCell ref="A79:K79"/>
    <mergeCell ref="A80:K80"/>
    <mergeCell ref="A16:A17"/>
    <mergeCell ref="B16:B17"/>
    <mergeCell ref="C16:C17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"/>
  <sheetViews>
    <sheetView showZeros="0" zoomScale="92" zoomScaleNormal="92" zoomScalePageLayoutView="0" workbookViewId="0" topLeftCell="A1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114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'O1'!B23</f>
        <v>Logu un durvju nomaiņa (koplietošanas telpās)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2!A10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P56</f>
        <v>0</v>
      </c>
      <c r="P12" s="475"/>
    </row>
    <row r="13" spans="1:16" ht="14.25">
      <c r="A13" s="284" t="s">
        <v>509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11.25">
      <c r="A18" s="322"/>
      <c r="B18" s="324"/>
      <c r="C18" s="319" t="s">
        <v>214</v>
      </c>
      <c r="D18" s="321"/>
      <c r="E18" s="202"/>
      <c r="F18" s="322"/>
      <c r="G18" s="200"/>
      <c r="H18" s="200"/>
      <c r="I18" s="200"/>
      <c r="J18" s="200"/>
      <c r="K18" s="201"/>
      <c r="L18" s="204"/>
      <c r="M18" s="200"/>
      <c r="N18" s="200"/>
      <c r="O18" s="200"/>
      <c r="P18" s="201"/>
    </row>
    <row r="19" spans="1:16" ht="22.5">
      <c r="A19" s="241" t="s">
        <v>6</v>
      </c>
      <c r="B19" s="183" t="s">
        <v>115</v>
      </c>
      <c r="C19" s="357" t="s">
        <v>197</v>
      </c>
      <c r="D19" s="358" t="s">
        <v>102</v>
      </c>
      <c r="E19" s="359">
        <v>51.84</v>
      </c>
      <c r="F19" s="191"/>
      <c r="G19" s="130"/>
      <c r="H19" s="184"/>
      <c r="I19" s="184"/>
      <c r="J19" s="184"/>
      <c r="K19" s="185"/>
      <c r="L19" s="190"/>
      <c r="M19" s="184"/>
      <c r="N19" s="184"/>
      <c r="O19" s="184"/>
      <c r="P19" s="185"/>
    </row>
    <row r="20" spans="1:16" ht="57">
      <c r="A20" s="124">
        <v>2</v>
      </c>
      <c r="B20" s="133" t="s">
        <v>116</v>
      </c>
      <c r="C20" s="126" t="s">
        <v>265</v>
      </c>
      <c r="D20" s="127" t="s">
        <v>102</v>
      </c>
      <c r="E20" s="359">
        <v>51.84</v>
      </c>
      <c r="F20" s="129"/>
      <c r="G20" s="130"/>
      <c r="H20" s="130"/>
      <c r="I20" s="130"/>
      <c r="J20" s="130"/>
      <c r="K20" s="131"/>
      <c r="L20" s="132"/>
      <c r="M20" s="130"/>
      <c r="N20" s="130"/>
      <c r="O20" s="130"/>
      <c r="P20" s="131"/>
    </row>
    <row r="21" spans="1:16" ht="22.5">
      <c r="A21" s="124"/>
      <c r="B21" s="133"/>
      <c r="C21" s="192" t="s">
        <v>346</v>
      </c>
      <c r="D21" s="127" t="s">
        <v>103</v>
      </c>
      <c r="E21" s="128">
        <v>12</v>
      </c>
      <c r="F21" s="129"/>
      <c r="G21" s="130"/>
      <c r="H21" s="130"/>
      <c r="I21" s="130"/>
      <c r="J21" s="130"/>
      <c r="K21" s="131"/>
      <c r="L21" s="132"/>
      <c r="M21" s="130"/>
      <c r="N21" s="130"/>
      <c r="O21" s="130"/>
      <c r="P21" s="131"/>
    </row>
    <row r="22" spans="1:16" ht="22.5">
      <c r="A22" s="124"/>
      <c r="B22" s="133"/>
      <c r="C22" s="192" t="s">
        <v>347</v>
      </c>
      <c r="D22" s="127" t="s">
        <v>103</v>
      </c>
      <c r="E22" s="128">
        <v>24</v>
      </c>
      <c r="F22" s="129"/>
      <c r="G22" s="130"/>
      <c r="H22" s="130"/>
      <c r="I22" s="130"/>
      <c r="J22" s="130"/>
      <c r="K22" s="131"/>
      <c r="L22" s="132"/>
      <c r="M22" s="130"/>
      <c r="N22" s="130"/>
      <c r="O22" s="130"/>
      <c r="P22" s="131"/>
    </row>
    <row r="23" spans="1:16" ht="11.25">
      <c r="A23" s="124"/>
      <c r="B23" s="133"/>
      <c r="C23" s="134" t="s">
        <v>117</v>
      </c>
      <c r="D23" s="127" t="s">
        <v>1</v>
      </c>
      <c r="E23" s="128">
        <f>SUM(E21:E21)*10</f>
        <v>120</v>
      </c>
      <c r="F23" s="129"/>
      <c r="G23" s="130"/>
      <c r="H23" s="130"/>
      <c r="I23" s="130"/>
      <c r="J23" s="130"/>
      <c r="K23" s="131"/>
      <c r="L23" s="132"/>
      <c r="M23" s="130"/>
      <c r="N23" s="130"/>
      <c r="O23" s="130"/>
      <c r="P23" s="131"/>
    </row>
    <row r="24" spans="1:16" ht="11.25">
      <c r="A24" s="124"/>
      <c r="B24" s="133"/>
      <c r="C24" s="134" t="s">
        <v>118</v>
      </c>
      <c r="D24" s="127" t="s">
        <v>1</v>
      </c>
      <c r="E24" s="128">
        <f>E20*0.33</f>
        <v>17.107200000000002</v>
      </c>
      <c r="F24" s="129"/>
      <c r="G24" s="130"/>
      <c r="H24" s="130"/>
      <c r="I24" s="130"/>
      <c r="J24" s="130"/>
      <c r="K24" s="131"/>
      <c r="L24" s="132"/>
      <c r="M24" s="130"/>
      <c r="N24" s="130"/>
      <c r="O24" s="130"/>
      <c r="P24" s="131"/>
    </row>
    <row r="25" spans="1:16" ht="22.5">
      <c r="A25" s="124">
        <v>3</v>
      </c>
      <c r="B25" s="133" t="s">
        <v>119</v>
      </c>
      <c r="C25" s="126" t="s">
        <v>120</v>
      </c>
      <c r="D25" s="127" t="s">
        <v>2</v>
      </c>
      <c r="E25" s="128">
        <v>64.8</v>
      </c>
      <c r="F25" s="129"/>
      <c r="G25" s="130"/>
      <c r="H25" s="130"/>
      <c r="I25" s="130"/>
      <c r="J25" s="130"/>
      <c r="K25" s="131"/>
      <c r="L25" s="132"/>
      <c r="M25" s="130"/>
      <c r="N25" s="130"/>
      <c r="O25" s="130"/>
      <c r="P25" s="131"/>
    </row>
    <row r="26" spans="1:16" ht="11.25">
      <c r="A26" s="124"/>
      <c r="B26" s="133"/>
      <c r="C26" s="134" t="s">
        <v>215</v>
      </c>
      <c r="D26" s="127" t="s">
        <v>2</v>
      </c>
      <c r="E26" s="128">
        <f>E25</f>
        <v>64.8</v>
      </c>
      <c r="F26" s="129"/>
      <c r="G26" s="130"/>
      <c r="H26" s="130"/>
      <c r="I26" s="130"/>
      <c r="J26" s="130"/>
      <c r="K26" s="131"/>
      <c r="L26" s="132"/>
      <c r="M26" s="130"/>
      <c r="N26" s="130"/>
      <c r="O26" s="130"/>
      <c r="P26" s="131"/>
    </row>
    <row r="27" spans="1:16" ht="11.25">
      <c r="A27" s="124"/>
      <c r="B27" s="133"/>
      <c r="C27" s="134" t="s">
        <v>121</v>
      </c>
      <c r="D27" s="127" t="s">
        <v>103</v>
      </c>
      <c r="E27" s="128">
        <f>E25</f>
        <v>64.8</v>
      </c>
      <c r="F27" s="129"/>
      <c r="G27" s="130"/>
      <c r="H27" s="130"/>
      <c r="I27" s="130"/>
      <c r="J27" s="130"/>
      <c r="K27" s="131"/>
      <c r="L27" s="132"/>
      <c r="M27" s="130"/>
      <c r="N27" s="130"/>
      <c r="O27" s="130"/>
      <c r="P27" s="131"/>
    </row>
    <row r="28" spans="1:16" ht="11.25">
      <c r="A28" s="124"/>
      <c r="B28" s="133"/>
      <c r="C28" s="134" t="s">
        <v>118</v>
      </c>
      <c r="D28" s="127" t="s">
        <v>1</v>
      </c>
      <c r="E28" s="128">
        <f>E25*0.2</f>
        <v>12.96</v>
      </c>
      <c r="F28" s="129"/>
      <c r="G28" s="130"/>
      <c r="H28" s="130"/>
      <c r="I28" s="130"/>
      <c r="J28" s="130"/>
      <c r="K28" s="131"/>
      <c r="L28" s="132"/>
      <c r="M28" s="130"/>
      <c r="N28" s="130"/>
      <c r="O28" s="130"/>
      <c r="P28" s="131"/>
    </row>
    <row r="29" spans="1:16" ht="11.25">
      <c r="A29" s="241" t="s">
        <v>9</v>
      </c>
      <c r="B29" s="183" t="s">
        <v>27</v>
      </c>
      <c r="C29" s="357" t="s">
        <v>238</v>
      </c>
      <c r="D29" s="358" t="s">
        <v>102</v>
      </c>
      <c r="E29" s="359">
        <v>13.86</v>
      </c>
      <c r="F29" s="191"/>
      <c r="G29" s="130"/>
      <c r="H29" s="184"/>
      <c r="I29" s="184"/>
      <c r="J29" s="184"/>
      <c r="K29" s="185"/>
      <c r="L29" s="190"/>
      <c r="M29" s="184"/>
      <c r="N29" s="184"/>
      <c r="O29" s="184"/>
      <c r="P29" s="185"/>
    </row>
    <row r="30" spans="1:16" ht="34.5">
      <c r="A30" s="124">
        <v>5</v>
      </c>
      <c r="B30" s="133" t="s">
        <v>116</v>
      </c>
      <c r="C30" s="126" t="s">
        <v>266</v>
      </c>
      <c r="D30" s="127" t="s">
        <v>102</v>
      </c>
      <c r="E30" s="128">
        <v>13.86</v>
      </c>
      <c r="F30" s="129"/>
      <c r="G30" s="130"/>
      <c r="H30" s="130"/>
      <c r="I30" s="130"/>
      <c r="J30" s="130"/>
      <c r="K30" s="131"/>
      <c r="L30" s="132"/>
      <c r="M30" s="130"/>
      <c r="N30" s="130"/>
      <c r="O30" s="130"/>
      <c r="P30" s="131"/>
    </row>
    <row r="31" spans="1:16" ht="22.5">
      <c r="A31" s="124"/>
      <c r="B31" s="133"/>
      <c r="C31" s="178" t="s">
        <v>317</v>
      </c>
      <c r="D31" s="127" t="s">
        <v>103</v>
      </c>
      <c r="E31" s="128">
        <v>3</v>
      </c>
      <c r="F31" s="129"/>
      <c r="G31" s="130"/>
      <c r="H31" s="130"/>
      <c r="I31" s="130"/>
      <c r="J31" s="130"/>
      <c r="K31" s="131"/>
      <c r="L31" s="132"/>
      <c r="M31" s="130"/>
      <c r="N31" s="130"/>
      <c r="O31" s="130"/>
      <c r="P31" s="131"/>
    </row>
    <row r="32" spans="1:16" ht="11.25">
      <c r="A32" s="124"/>
      <c r="B32" s="133"/>
      <c r="C32" s="134" t="s">
        <v>117</v>
      </c>
      <c r="D32" s="127" t="s">
        <v>1</v>
      </c>
      <c r="E32" s="128">
        <f>SUM(E31:E31)*10</f>
        <v>30</v>
      </c>
      <c r="F32" s="129"/>
      <c r="G32" s="130"/>
      <c r="H32" s="130"/>
      <c r="I32" s="130"/>
      <c r="J32" s="130"/>
      <c r="K32" s="131"/>
      <c r="L32" s="132"/>
      <c r="M32" s="130"/>
      <c r="N32" s="130"/>
      <c r="O32" s="130"/>
      <c r="P32" s="131"/>
    </row>
    <row r="33" spans="1:16" ht="11.25">
      <c r="A33" s="124"/>
      <c r="B33" s="133"/>
      <c r="C33" s="134" t="s">
        <v>118</v>
      </c>
      <c r="D33" s="127" t="s">
        <v>1</v>
      </c>
      <c r="E33" s="128">
        <f>E30*0.33</f>
        <v>4.5738</v>
      </c>
      <c r="F33" s="129"/>
      <c r="G33" s="130"/>
      <c r="H33" s="130"/>
      <c r="I33" s="130"/>
      <c r="J33" s="130"/>
      <c r="K33" s="131"/>
      <c r="L33" s="132"/>
      <c r="M33" s="130"/>
      <c r="N33" s="130"/>
      <c r="O33" s="130"/>
      <c r="P33" s="131"/>
    </row>
    <row r="34" spans="1:16" ht="22.5">
      <c r="A34" s="174">
        <v>6</v>
      </c>
      <c r="B34" s="361" t="s">
        <v>122</v>
      </c>
      <c r="C34" s="362" t="s">
        <v>123</v>
      </c>
      <c r="D34" s="193" t="s">
        <v>101</v>
      </c>
      <c r="E34" s="203">
        <v>180</v>
      </c>
      <c r="F34" s="177"/>
      <c r="G34" s="130"/>
      <c r="H34" s="121"/>
      <c r="I34" s="121"/>
      <c r="J34" s="118"/>
      <c r="K34" s="175"/>
      <c r="L34" s="176"/>
      <c r="M34" s="121"/>
      <c r="N34" s="121"/>
      <c r="O34" s="121"/>
      <c r="P34" s="175"/>
    </row>
    <row r="35" spans="1:16" ht="22.5">
      <c r="A35" s="174"/>
      <c r="B35" s="119"/>
      <c r="C35" s="195" t="s">
        <v>124</v>
      </c>
      <c r="D35" s="193" t="s">
        <v>103</v>
      </c>
      <c r="E35" s="203">
        <f>E34*1.1/2.5</f>
        <v>79.20000000000002</v>
      </c>
      <c r="F35" s="177"/>
      <c r="G35" s="121"/>
      <c r="H35" s="121"/>
      <c r="I35" s="194"/>
      <c r="J35" s="118"/>
      <c r="K35" s="175"/>
      <c r="L35" s="176"/>
      <c r="M35" s="121"/>
      <c r="N35" s="121"/>
      <c r="O35" s="121"/>
      <c r="P35" s="175"/>
    </row>
    <row r="36" spans="1:16" ht="11.25">
      <c r="A36" s="174"/>
      <c r="B36" s="119"/>
      <c r="C36" s="196" t="s">
        <v>125</v>
      </c>
      <c r="D36" s="193" t="s">
        <v>103</v>
      </c>
      <c r="E36" s="203">
        <f>(E34*0.2*4)/25</f>
        <v>5.76</v>
      </c>
      <c r="F36" s="177"/>
      <c r="G36" s="121"/>
      <c r="H36" s="121"/>
      <c r="I36" s="194"/>
      <c r="J36" s="118"/>
      <c r="K36" s="175"/>
      <c r="L36" s="176"/>
      <c r="M36" s="121"/>
      <c r="N36" s="121"/>
      <c r="O36" s="121"/>
      <c r="P36" s="175"/>
    </row>
    <row r="37" spans="1:16" ht="11.25">
      <c r="A37" s="124"/>
      <c r="B37" s="133"/>
      <c r="C37" s="134" t="s">
        <v>126</v>
      </c>
      <c r="D37" s="127" t="s">
        <v>1</v>
      </c>
      <c r="E37" s="128">
        <f>1*E34*0.12/30</f>
        <v>0.72</v>
      </c>
      <c r="F37" s="129"/>
      <c r="G37" s="130"/>
      <c r="H37" s="130"/>
      <c r="I37" s="130"/>
      <c r="J37" s="130"/>
      <c r="K37" s="131"/>
      <c r="L37" s="132"/>
      <c r="M37" s="130"/>
      <c r="N37" s="130"/>
      <c r="O37" s="130"/>
      <c r="P37" s="131"/>
    </row>
    <row r="38" spans="1:16" ht="11.25">
      <c r="A38" s="189"/>
      <c r="B38" s="197"/>
      <c r="C38" s="134" t="s">
        <v>127</v>
      </c>
      <c r="D38" s="127" t="s">
        <v>1</v>
      </c>
      <c r="E38" s="128">
        <f>1*E34*0.12/25</f>
        <v>0.8639999999999999</v>
      </c>
      <c r="F38" s="144"/>
      <c r="G38" s="118"/>
      <c r="H38" s="118"/>
      <c r="I38" s="130"/>
      <c r="J38" s="118"/>
      <c r="K38" s="145"/>
      <c r="L38" s="146"/>
      <c r="M38" s="118"/>
      <c r="N38" s="118"/>
      <c r="O38" s="118"/>
      <c r="P38" s="145"/>
    </row>
    <row r="39" spans="1:16" ht="22.5">
      <c r="A39" s="189"/>
      <c r="B39" s="197"/>
      <c r="C39" s="178" t="s">
        <v>128</v>
      </c>
      <c r="D39" s="127" t="s">
        <v>1</v>
      </c>
      <c r="E39" s="128">
        <f>0.5*E34*0.12/28</f>
        <v>0.3857142857142857</v>
      </c>
      <c r="F39" s="144"/>
      <c r="G39" s="118"/>
      <c r="H39" s="118"/>
      <c r="I39" s="130"/>
      <c r="J39" s="118"/>
      <c r="K39" s="145"/>
      <c r="L39" s="146"/>
      <c r="M39" s="118"/>
      <c r="N39" s="118"/>
      <c r="O39" s="118"/>
      <c r="P39" s="145"/>
    </row>
    <row r="40" spans="1:16" ht="11.25">
      <c r="A40" s="189"/>
      <c r="B40" s="197"/>
      <c r="C40" s="134" t="s">
        <v>129</v>
      </c>
      <c r="D40" s="127" t="s">
        <v>1</v>
      </c>
      <c r="E40" s="128">
        <f>0.15*E34*0.12/15</f>
        <v>0.216</v>
      </c>
      <c r="F40" s="144"/>
      <c r="G40" s="118"/>
      <c r="H40" s="118"/>
      <c r="I40" s="130"/>
      <c r="J40" s="118"/>
      <c r="K40" s="145"/>
      <c r="L40" s="146"/>
      <c r="M40" s="118"/>
      <c r="N40" s="118"/>
      <c r="O40" s="118"/>
      <c r="P40" s="145"/>
    </row>
    <row r="41" spans="1:16" ht="11.25">
      <c r="A41" s="189"/>
      <c r="B41" s="197"/>
      <c r="C41" s="134" t="s">
        <v>130</v>
      </c>
      <c r="D41" s="127" t="s">
        <v>1</v>
      </c>
      <c r="E41" s="128">
        <f>E34*0.12*0.3/3</f>
        <v>2.1599999999999997</v>
      </c>
      <c r="F41" s="144"/>
      <c r="G41" s="118"/>
      <c r="H41" s="118"/>
      <c r="I41" s="130"/>
      <c r="J41" s="118"/>
      <c r="K41" s="145"/>
      <c r="L41" s="146"/>
      <c r="M41" s="118"/>
      <c r="N41" s="118"/>
      <c r="O41" s="118"/>
      <c r="P41" s="145"/>
    </row>
    <row r="42" spans="1:16" ht="11.25">
      <c r="A42" s="189"/>
      <c r="B42" s="197"/>
      <c r="C42" s="134" t="s">
        <v>131</v>
      </c>
      <c r="D42" s="127" t="s">
        <v>2</v>
      </c>
      <c r="E42" s="128">
        <f>0.015*E34*0.12</f>
        <v>0.32399999999999995</v>
      </c>
      <c r="F42" s="144"/>
      <c r="G42" s="118"/>
      <c r="H42" s="118"/>
      <c r="I42" s="130"/>
      <c r="J42" s="118"/>
      <c r="K42" s="145"/>
      <c r="L42" s="146"/>
      <c r="M42" s="118"/>
      <c r="N42" s="118"/>
      <c r="O42" s="118"/>
      <c r="P42" s="145"/>
    </row>
    <row r="43" spans="1:16" ht="22.5">
      <c r="A43" s="189"/>
      <c r="B43" s="197"/>
      <c r="C43" s="178" t="s">
        <v>132</v>
      </c>
      <c r="D43" s="127" t="s">
        <v>133</v>
      </c>
      <c r="E43" s="165">
        <f>0.05*E34*0.12</f>
        <v>1.08</v>
      </c>
      <c r="F43" s="144"/>
      <c r="G43" s="118"/>
      <c r="H43" s="118"/>
      <c r="I43" s="130"/>
      <c r="J43" s="118"/>
      <c r="K43" s="145"/>
      <c r="L43" s="146"/>
      <c r="M43" s="118"/>
      <c r="N43" s="118"/>
      <c r="O43" s="118"/>
      <c r="P43" s="145"/>
    </row>
    <row r="44" spans="1:16" ht="11.25">
      <c r="A44" s="189"/>
      <c r="B44" s="197"/>
      <c r="C44" s="134" t="s">
        <v>134</v>
      </c>
      <c r="D44" s="127" t="s">
        <v>1</v>
      </c>
      <c r="E44" s="128">
        <f>E34*0.12*0.03</f>
        <v>0.6479999999999999</v>
      </c>
      <c r="F44" s="144"/>
      <c r="G44" s="118"/>
      <c r="H44" s="118"/>
      <c r="I44" s="130"/>
      <c r="J44" s="118"/>
      <c r="K44" s="145"/>
      <c r="L44" s="146"/>
      <c r="M44" s="118"/>
      <c r="N44" s="118"/>
      <c r="O44" s="118"/>
      <c r="P44" s="145"/>
    </row>
    <row r="45" spans="1:16" ht="22.5">
      <c r="A45" s="189"/>
      <c r="B45" s="197"/>
      <c r="C45" s="180" t="s">
        <v>135</v>
      </c>
      <c r="D45" s="198" t="s">
        <v>103</v>
      </c>
      <c r="E45" s="165">
        <f>0.15*E34*0.12/18</f>
        <v>0.18</v>
      </c>
      <c r="F45" s="144"/>
      <c r="G45" s="118"/>
      <c r="H45" s="118"/>
      <c r="I45" s="130"/>
      <c r="J45" s="118"/>
      <c r="K45" s="145"/>
      <c r="L45" s="146"/>
      <c r="M45" s="118"/>
      <c r="N45" s="118"/>
      <c r="O45" s="118"/>
      <c r="P45" s="145"/>
    </row>
    <row r="46" spans="1:16" ht="11.25">
      <c r="A46" s="189"/>
      <c r="B46" s="197"/>
      <c r="C46" s="199" t="s">
        <v>136</v>
      </c>
      <c r="D46" s="127" t="s">
        <v>1</v>
      </c>
      <c r="E46" s="128">
        <f>0.2*E34*0.12/9</f>
        <v>0.48000000000000004</v>
      </c>
      <c r="F46" s="144"/>
      <c r="G46" s="118"/>
      <c r="H46" s="118"/>
      <c r="I46" s="130"/>
      <c r="J46" s="118"/>
      <c r="K46" s="145"/>
      <c r="L46" s="146"/>
      <c r="M46" s="118"/>
      <c r="N46" s="118"/>
      <c r="O46" s="118"/>
      <c r="P46" s="145"/>
    </row>
    <row r="47" spans="1:16" ht="22.5">
      <c r="A47" s="149" t="s">
        <v>28</v>
      </c>
      <c r="B47" s="150" t="s">
        <v>27</v>
      </c>
      <c r="C47" s="360" t="s">
        <v>278</v>
      </c>
      <c r="D47" s="138" t="s">
        <v>103</v>
      </c>
      <c r="E47" s="139">
        <v>3</v>
      </c>
      <c r="F47" s="140"/>
      <c r="G47" s="130"/>
      <c r="H47" s="117"/>
      <c r="I47" s="117"/>
      <c r="J47" s="117"/>
      <c r="K47" s="141"/>
      <c r="L47" s="142"/>
      <c r="M47" s="117"/>
      <c r="N47" s="117"/>
      <c r="O47" s="117"/>
      <c r="P47" s="141"/>
    </row>
    <row r="48" spans="1:16" ht="11.25">
      <c r="A48" s="149"/>
      <c r="B48" s="150"/>
      <c r="C48" s="120" t="s">
        <v>83</v>
      </c>
      <c r="D48" s="138" t="s">
        <v>103</v>
      </c>
      <c r="E48" s="139">
        <f>E47</f>
        <v>3</v>
      </c>
      <c r="F48" s="140"/>
      <c r="G48" s="117"/>
      <c r="H48" s="117"/>
      <c r="I48" s="117"/>
      <c r="J48" s="117"/>
      <c r="K48" s="141"/>
      <c r="L48" s="142"/>
      <c r="M48" s="117"/>
      <c r="N48" s="117"/>
      <c r="O48" s="117"/>
      <c r="P48" s="141"/>
    </row>
    <row r="49" spans="1:16" ht="22.5">
      <c r="A49" s="241" t="s">
        <v>29</v>
      </c>
      <c r="B49" s="183" t="s">
        <v>27</v>
      </c>
      <c r="C49" s="357" t="s">
        <v>283</v>
      </c>
      <c r="D49" s="358" t="s">
        <v>2</v>
      </c>
      <c r="E49" s="359">
        <v>370.2</v>
      </c>
      <c r="F49" s="191"/>
      <c r="G49" s="130"/>
      <c r="H49" s="184"/>
      <c r="I49" s="184"/>
      <c r="J49" s="184"/>
      <c r="K49" s="185"/>
      <c r="L49" s="190"/>
      <c r="M49" s="184"/>
      <c r="N49" s="184"/>
      <c r="O49" s="184"/>
      <c r="P49" s="185"/>
    </row>
    <row r="50" spans="1:16" ht="11.25">
      <c r="A50" s="157" t="s">
        <v>33</v>
      </c>
      <c r="B50" s="133" t="s">
        <v>27</v>
      </c>
      <c r="C50" s="126" t="s">
        <v>108</v>
      </c>
      <c r="D50" s="127" t="s">
        <v>109</v>
      </c>
      <c r="E50" s="165">
        <v>2</v>
      </c>
      <c r="F50" s="129"/>
      <c r="G50" s="130"/>
      <c r="H50" s="130"/>
      <c r="I50" s="130"/>
      <c r="J50" s="130"/>
      <c r="K50" s="131"/>
      <c r="L50" s="132"/>
      <c r="M50" s="130"/>
      <c r="N50" s="130"/>
      <c r="O50" s="130"/>
      <c r="P50" s="131"/>
    </row>
    <row r="51" spans="1:16" ht="11.25">
      <c r="A51" s="157"/>
      <c r="B51" s="133"/>
      <c r="C51" s="134" t="s">
        <v>108</v>
      </c>
      <c r="D51" s="127" t="s">
        <v>109</v>
      </c>
      <c r="E51" s="128">
        <f>E50</f>
        <v>2</v>
      </c>
      <c r="F51" s="129"/>
      <c r="G51" s="130"/>
      <c r="H51" s="130"/>
      <c r="I51" s="130"/>
      <c r="J51" s="130"/>
      <c r="K51" s="131"/>
      <c r="L51" s="132"/>
      <c r="M51" s="130"/>
      <c r="N51" s="130"/>
      <c r="O51" s="130"/>
      <c r="P51" s="131"/>
    </row>
    <row r="52" spans="1:16" ht="22.5">
      <c r="A52" s="157" t="s">
        <v>166</v>
      </c>
      <c r="B52" s="133" t="s">
        <v>27</v>
      </c>
      <c r="C52" s="126" t="s">
        <v>110</v>
      </c>
      <c r="D52" s="127" t="s">
        <v>111</v>
      </c>
      <c r="E52" s="165">
        <v>10</v>
      </c>
      <c r="F52" s="129"/>
      <c r="G52" s="130"/>
      <c r="H52" s="130"/>
      <c r="I52" s="130"/>
      <c r="J52" s="130"/>
      <c r="K52" s="131"/>
      <c r="L52" s="132"/>
      <c r="M52" s="130"/>
      <c r="N52" s="130"/>
      <c r="O52" s="130"/>
      <c r="P52" s="131"/>
    </row>
    <row r="53" spans="1:16" ht="12" thickBot="1">
      <c r="A53" s="166"/>
      <c r="B53" s="181"/>
      <c r="C53" s="182" t="s">
        <v>112</v>
      </c>
      <c r="D53" s="169" t="s">
        <v>111</v>
      </c>
      <c r="E53" s="170">
        <f>E52</f>
        <v>10</v>
      </c>
      <c r="F53" s="171"/>
      <c r="G53" s="135"/>
      <c r="H53" s="135"/>
      <c r="I53" s="135"/>
      <c r="J53" s="135"/>
      <c r="K53" s="172"/>
      <c r="L53" s="173"/>
      <c r="M53" s="135"/>
      <c r="N53" s="135"/>
      <c r="O53" s="135"/>
      <c r="P53" s="172"/>
    </row>
    <row r="54" spans="1:16" ht="12" thickBot="1">
      <c r="A54" s="501" t="s">
        <v>5</v>
      </c>
      <c r="B54" s="502"/>
      <c r="C54" s="502"/>
      <c r="D54" s="502"/>
      <c r="E54" s="502"/>
      <c r="F54" s="502"/>
      <c r="G54" s="502"/>
      <c r="H54" s="502"/>
      <c r="I54" s="502"/>
      <c r="J54" s="502"/>
      <c r="K54" s="503"/>
      <c r="L54" s="296"/>
      <c r="M54" s="297"/>
      <c r="N54" s="297"/>
      <c r="O54" s="297"/>
      <c r="P54" s="298"/>
    </row>
    <row r="55" spans="1:16" ht="12" thickBot="1">
      <c r="A55" s="491" t="s">
        <v>506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3"/>
      <c r="L55" s="299"/>
      <c r="M55" s="300"/>
      <c r="N55" s="300"/>
      <c r="O55" s="300"/>
      <c r="P55" s="301"/>
    </row>
    <row r="56" spans="1:16" ht="12" thickBot="1">
      <c r="A56" s="485" t="s">
        <v>5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7"/>
      <c r="L56" s="302"/>
      <c r="M56" s="303"/>
      <c r="N56" s="303"/>
      <c r="O56" s="303"/>
      <c r="P56" s="304"/>
    </row>
    <row r="59" spans="1:8" ht="11.25">
      <c r="A59" s="305" t="s">
        <v>507</v>
      </c>
      <c r="B59" s="306"/>
      <c r="H59" s="305" t="s">
        <v>503</v>
      </c>
    </row>
    <row r="60" ht="11.25">
      <c r="F60" s="308"/>
    </row>
  </sheetData>
  <sheetProtection/>
  <mergeCells count="16">
    <mergeCell ref="A56:K56"/>
    <mergeCell ref="A54:K54"/>
    <mergeCell ref="A55:K55"/>
    <mergeCell ref="A16:A17"/>
    <mergeCell ref="B16:B17"/>
    <mergeCell ref="E16:E17"/>
    <mergeCell ref="F16:K16"/>
    <mergeCell ref="L16:P16"/>
    <mergeCell ref="O12:P12"/>
    <mergeCell ref="C16:C17"/>
    <mergeCell ref="A1:P1"/>
    <mergeCell ref="A2:P3"/>
    <mergeCell ref="A5:P5"/>
    <mergeCell ref="A6:P6"/>
    <mergeCell ref="L12:N12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3"/>
  <sheetViews>
    <sheetView showZeros="0" zoomScale="92" zoomScaleNormal="92" zoomScalePageLayoutView="0" workbookViewId="0" topLeftCell="A19">
      <selection activeCell="A49" sqref="A49:IV51"/>
    </sheetView>
  </sheetViews>
  <sheetFormatPr defaultColWidth="9.140625" defaultRowHeight="12.75"/>
  <cols>
    <col min="1" max="1" width="3.00390625" style="207" customWidth="1"/>
    <col min="2" max="2" width="9.00390625" style="307" customWidth="1"/>
    <col min="3" max="3" width="30.140625" style="207" customWidth="1"/>
    <col min="4" max="4" width="6.140625" style="207" bestFit="1" customWidth="1"/>
    <col min="5" max="5" width="9.57421875" style="207" bestFit="1" customWidth="1"/>
    <col min="6" max="6" width="6.00390625" style="207" customWidth="1"/>
    <col min="7" max="7" width="8.00390625" style="207" customWidth="1"/>
    <col min="8" max="8" width="6.57421875" style="207" bestFit="1" customWidth="1"/>
    <col min="9" max="9" width="7.57421875" style="207" bestFit="1" customWidth="1"/>
    <col min="10" max="10" width="6.57421875" style="207" bestFit="1" customWidth="1"/>
    <col min="11" max="11" width="7.57421875" style="207" bestFit="1" customWidth="1"/>
    <col min="12" max="12" width="8.28125" style="207" customWidth="1"/>
    <col min="13" max="13" width="9.8515625" style="207" customWidth="1"/>
    <col min="14" max="14" width="9.57421875" style="207" bestFit="1" customWidth="1"/>
    <col min="15" max="15" width="8.57421875" style="207" bestFit="1" customWidth="1"/>
    <col min="16" max="16" width="10.140625" style="207" customWidth="1"/>
    <col min="17" max="16384" width="9.140625" style="207" customWidth="1"/>
  </cols>
  <sheetData>
    <row r="1" spans="1:16" ht="18">
      <c r="A1" s="478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</row>
    <row r="2" spans="1:16" ht="13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6" ht="13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5" spans="1:16" ht="14.25">
      <c r="A5" s="481" t="s">
        <v>137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1:16" ht="14.25">
      <c r="A6" s="481" t="str">
        <f>'O1'!B24</f>
        <v>Pagraba griestu siltināšanas darbi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</row>
    <row r="7" spans="1:16" ht="14.25">
      <c r="A7" s="320"/>
      <c r="B7" s="27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ht="14.25">
      <c r="A8" s="280" t="s">
        <v>235</v>
      </c>
      <c r="B8" s="281"/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ht="14.25">
      <c r="A9" s="284" t="s">
        <v>234</v>
      </c>
      <c r="B9" s="281"/>
      <c r="C9" s="285"/>
      <c r="D9" s="286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4" t="str">
        <f>3!A10</f>
        <v>Objekta adrese: Grants iela 29, Kuldīga, Kuldīgas novads</v>
      </c>
      <c r="B10" s="281"/>
      <c r="C10" s="285"/>
      <c r="D10" s="286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1.25">
      <c r="A11" s="287"/>
      <c r="B11" s="288"/>
      <c r="C11" s="285"/>
      <c r="D11" s="286"/>
      <c r="E11" s="283"/>
      <c r="F11" s="289"/>
      <c r="G11" s="283"/>
      <c r="H11" s="283"/>
      <c r="I11" s="283"/>
      <c r="J11" s="283"/>
      <c r="K11" s="283"/>
      <c r="L11" s="289"/>
      <c r="M11" s="283"/>
      <c r="N11" s="290"/>
      <c r="O11" s="290"/>
      <c r="P11" s="283"/>
    </row>
    <row r="12" spans="1:16" ht="14.25">
      <c r="A12" s="284" t="s">
        <v>12</v>
      </c>
      <c r="B12" s="288"/>
      <c r="C12" s="285"/>
      <c r="D12" s="286"/>
      <c r="E12" s="283"/>
      <c r="F12" s="289"/>
      <c r="G12" s="283"/>
      <c r="H12" s="283"/>
      <c r="I12" s="283"/>
      <c r="J12" s="283"/>
      <c r="K12" s="283"/>
      <c r="L12" s="482" t="s">
        <v>13</v>
      </c>
      <c r="M12" s="482"/>
      <c r="N12" s="482"/>
      <c r="O12" s="475">
        <f>P29</f>
        <v>0</v>
      </c>
      <c r="P12" s="475"/>
    </row>
    <row r="13" spans="1:16" ht="14.25">
      <c r="A13" s="284" t="s">
        <v>508</v>
      </c>
      <c r="B13" s="288"/>
      <c r="C13" s="285"/>
      <c r="D13" s="286"/>
      <c r="E13" s="283"/>
      <c r="F13" s="289"/>
      <c r="G13" s="283"/>
      <c r="H13" s="283"/>
      <c r="I13" s="283"/>
      <c r="J13" s="283"/>
      <c r="K13" s="283"/>
      <c r="L13" s="280"/>
      <c r="M13" s="283"/>
      <c r="N13" s="290"/>
      <c r="O13" s="290"/>
      <c r="P13" s="283"/>
    </row>
    <row r="14" spans="1:16" ht="11.25">
      <c r="A14" s="287"/>
      <c r="B14" s="288"/>
      <c r="C14" s="285"/>
      <c r="D14" s="286"/>
      <c r="E14" s="283"/>
      <c r="F14" s="289"/>
      <c r="G14" s="283"/>
      <c r="H14" s="283"/>
      <c r="I14" s="283"/>
      <c r="J14" s="283"/>
      <c r="K14" s="283"/>
      <c r="L14" s="289"/>
      <c r="M14" s="283"/>
      <c r="N14" s="290"/>
      <c r="O14" s="283"/>
      <c r="P14" s="283"/>
    </row>
    <row r="15" spans="1:16" ht="12" thickBot="1">
      <c r="A15" s="291"/>
      <c r="B15" s="288"/>
      <c r="C15" s="282"/>
      <c r="D15" s="283"/>
      <c r="E15" s="283"/>
      <c r="F15" s="283"/>
      <c r="G15" s="283"/>
      <c r="H15" s="283"/>
      <c r="I15" s="283"/>
      <c r="J15" s="283"/>
      <c r="K15" s="283"/>
      <c r="L15" s="289"/>
      <c r="M15" s="283"/>
      <c r="N15" s="283"/>
      <c r="O15" s="283"/>
      <c r="P15" s="283"/>
    </row>
    <row r="16" spans="1:16" ht="11.25">
      <c r="A16" s="494" t="s">
        <v>14</v>
      </c>
      <c r="B16" s="496" t="s">
        <v>15</v>
      </c>
      <c r="C16" s="476" t="s">
        <v>16</v>
      </c>
      <c r="D16" s="483" t="s">
        <v>3</v>
      </c>
      <c r="E16" s="498" t="s">
        <v>4</v>
      </c>
      <c r="F16" s="500" t="s">
        <v>17</v>
      </c>
      <c r="G16" s="438"/>
      <c r="H16" s="438"/>
      <c r="I16" s="438"/>
      <c r="J16" s="438"/>
      <c r="K16" s="474"/>
      <c r="L16" s="437" t="s">
        <v>18</v>
      </c>
      <c r="M16" s="438"/>
      <c r="N16" s="438"/>
      <c r="O16" s="438"/>
      <c r="P16" s="474"/>
    </row>
    <row r="17" spans="1:16" ht="77.25" customHeight="1" thickBot="1">
      <c r="A17" s="495"/>
      <c r="B17" s="497"/>
      <c r="C17" s="477"/>
      <c r="D17" s="484"/>
      <c r="E17" s="499"/>
      <c r="F17" s="323" t="s">
        <v>19</v>
      </c>
      <c r="G17" s="292" t="s">
        <v>20</v>
      </c>
      <c r="H17" s="292" t="s">
        <v>21</v>
      </c>
      <c r="I17" s="292" t="s">
        <v>22</v>
      </c>
      <c r="J17" s="292" t="s">
        <v>23</v>
      </c>
      <c r="K17" s="293" t="s">
        <v>24</v>
      </c>
      <c r="L17" s="294" t="s">
        <v>25</v>
      </c>
      <c r="M17" s="292" t="s">
        <v>21</v>
      </c>
      <c r="N17" s="292" t="s">
        <v>22</v>
      </c>
      <c r="O17" s="292" t="s">
        <v>23</v>
      </c>
      <c r="P17" s="293" t="s">
        <v>26</v>
      </c>
    </row>
    <row r="18" spans="1:16" ht="67.5">
      <c r="A18" s="350">
        <v>1</v>
      </c>
      <c r="B18" s="351" t="s">
        <v>138</v>
      </c>
      <c r="C18" s="352" t="s">
        <v>275</v>
      </c>
      <c r="D18" s="161" t="s">
        <v>105</v>
      </c>
      <c r="E18" s="246">
        <v>460</v>
      </c>
      <c r="F18" s="353"/>
      <c r="G18" s="162"/>
      <c r="H18" s="354"/>
      <c r="I18" s="354"/>
      <c r="J18" s="354"/>
      <c r="K18" s="355"/>
      <c r="L18" s="356"/>
      <c r="M18" s="354"/>
      <c r="N18" s="354"/>
      <c r="O18" s="354"/>
      <c r="P18" s="355"/>
    </row>
    <row r="19" spans="1:16" ht="11.25">
      <c r="A19" s="143"/>
      <c r="B19" s="147"/>
      <c r="C19" s="178" t="s">
        <v>276</v>
      </c>
      <c r="D19" s="127" t="s">
        <v>102</v>
      </c>
      <c r="E19" s="128">
        <f>((E18)*1.05*0.95)</f>
        <v>458.84999999999997</v>
      </c>
      <c r="F19" s="148"/>
      <c r="G19" s="118"/>
      <c r="H19" s="118"/>
      <c r="I19" s="122"/>
      <c r="J19" s="118"/>
      <c r="K19" s="145"/>
      <c r="L19" s="146"/>
      <c r="M19" s="118"/>
      <c r="N19" s="118"/>
      <c r="O19" s="118"/>
      <c r="P19" s="145"/>
    </row>
    <row r="20" spans="1:16" ht="11.25">
      <c r="A20" s="143"/>
      <c r="B20" s="147"/>
      <c r="C20" s="178" t="s">
        <v>277</v>
      </c>
      <c r="D20" s="127" t="s">
        <v>102</v>
      </c>
      <c r="E20" s="128">
        <f>((E19)*1.05*0.05)</f>
        <v>24.089624999999998</v>
      </c>
      <c r="F20" s="148"/>
      <c r="G20" s="118"/>
      <c r="H20" s="118"/>
      <c r="I20" s="122"/>
      <c r="J20" s="118"/>
      <c r="K20" s="145"/>
      <c r="L20" s="146"/>
      <c r="M20" s="118"/>
      <c r="N20" s="118"/>
      <c r="O20" s="118"/>
      <c r="P20" s="145"/>
    </row>
    <row r="21" spans="1:16" ht="11.25">
      <c r="A21" s="143"/>
      <c r="B21" s="147"/>
      <c r="C21" s="134" t="s">
        <v>139</v>
      </c>
      <c r="D21" s="127" t="s">
        <v>103</v>
      </c>
      <c r="E21" s="128">
        <f>((E18)*6)/25</f>
        <v>110.4</v>
      </c>
      <c r="F21" s="148"/>
      <c r="G21" s="118"/>
      <c r="H21" s="118"/>
      <c r="I21" s="122"/>
      <c r="J21" s="118"/>
      <c r="K21" s="145"/>
      <c r="L21" s="146"/>
      <c r="M21" s="118"/>
      <c r="N21" s="118"/>
      <c r="O21" s="118"/>
      <c r="P21" s="145"/>
    </row>
    <row r="22" spans="1:16" ht="11.25">
      <c r="A22" s="143"/>
      <c r="B22" s="147"/>
      <c r="C22" s="134" t="s">
        <v>140</v>
      </c>
      <c r="D22" s="127" t="s">
        <v>103</v>
      </c>
      <c r="E22" s="128">
        <f>(E18)*4</f>
        <v>1840</v>
      </c>
      <c r="F22" s="148"/>
      <c r="G22" s="118"/>
      <c r="H22" s="118"/>
      <c r="I22" s="122"/>
      <c r="J22" s="118"/>
      <c r="K22" s="145"/>
      <c r="L22" s="146"/>
      <c r="M22" s="118"/>
      <c r="N22" s="118"/>
      <c r="O22" s="118"/>
      <c r="P22" s="145"/>
    </row>
    <row r="23" spans="1:16" ht="33.75">
      <c r="A23" s="157" t="s">
        <v>7</v>
      </c>
      <c r="B23" s="179" t="s">
        <v>167</v>
      </c>
      <c r="C23" s="187" t="s">
        <v>318</v>
      </c>
      <c r="D23" s="127" t="s">
        <v>102</v>
      </c>
      <c r="E23" s="139">
        <v>460</v>
      </c>
      <c r="F23" s="129"/>
      <c r="G23" s="184"/>
      <c r="H23" s="130"/>
      <c r="I23" s="130"/>
      <c r="J23" s="130"/>
      <c r="K23" s="131"/>
      <c r="L23" s="132"/>
      <c r="M23" s="130"/>
      <c r="N23" s="130"/>
      <c r="O23" s="130"/>
      <c r="P23" s="131"/>
    </row>
    <row r="24" spans="1:16" ht="11.25">
      <c r="A24" s="157"/>
      <c r="B24" s="125"/>
      <c r="C24" s="178" t="s">
        <v>168</v>
      </c>
      <c r="D24" s="127" t="s">
        <v>102</v>
      </c>
      <c r="E24" s="128">
        <f>((E23)*1.2)</f>
        <v>552</v>
      </c>
      <c r="F24" s="129"/>
      <c r="G24" s="130"/>
      <c r="H24" s="130"/>
      <c r="I24" s="117"/>
      <c r="J24" s="130"/>
      <c r="K24" s="131"/>
      <c r="L24" s="132"/>
      <c r="M24" s="130"/>
      <c r="N24" s="130"/>
      <c r="O24" s="130"/>
      <c r="P24" s="131"/>
    </row>
    <row r="25" spans="1:16" ht="11.25">
      <c r="A25" s="157"/>
      <c r="B25" s="125"/>
      <c r="C25" s="178" t="s">
        <v>125</v>
      </c>
      <c r="D25" s="127" t="s">
        <v>103</v>
      </c>
      <c r="E25" s="128">
        <f>((E23)*4)/25</f>
        <v>73.6</v>
      </c>
      <c r="F25" s="129"/>
      <c r="G25" s="130"/>
      <c r="H25" s="130"/>
      <c r="I25" s="117"/>
      <c r="J25" s="130"/>
      <c r="K25" s="131"/>
      <c r="L25" s="132"/>
      <c r="M25" s="130"/>
      <c r="N25" s="130"/>
      <c r="O25" s="130"/>
      <c r="P25" s="131"/>
    </row>
    <row r="26" spans="1:16" ht="12" thickBot="1">
      <c r="A26" s="267"/>
      <c r="B26" s="268"/>
      <c r="C26" s="182"/>
      <c r="D26" s="169"/>
      <c r="E26" s="170"/>
      <c r="F26" s="273"/>
      <c r="G26" s="269"/>
      <c r="H26" s="269"/>
      <c r="I26" s="270"/>
      <c r="J26" s="269"/>
      <c r="K26" s="271"/>
      <c r="L26" s="272"/>
      <c r="M26" s="269"/>
      <c r="N26" s="269"/>
      <c r="O26" s="269"/>
      <c r="P26" s="271"/>
    </row>
    <row r="27" spans="1:16" ht="12" thickBot="1">
      <c r="A27" s="501" t="s">
        <v>5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3"/>
      <c r="L27" s="312"/>
      <c r="M27" s="296"/>
      <c r="N27" s="297"/>
      <c r="O27" s="297"/>
      <c r="P27" s="298"/>
    </row>
    <row r="28" spans="1:16" ht="12" thickBot="1">
      <c r="A28" s="491" t="s">
        <v>506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3"/>
      <c r="L28" s="299"/>
      <c r="M28" s="300"/>
      <c r="N28" s="300"/>
      <c r="O28" s="300"/>
      <c r="P28" s="301"/>
    </row>
    <row r="29" spans="1:16" ht="12" thickBot="1">
      <c r="A29" s="485" t="s">
        <v>5</v>
      </c>
      <c r="B29" s="486"/>
      <c r="C29" s="486"/>
      <c r="D29" s="486"/>
      <c r="E29" s="486"/>
      <c r="F29" s="486"/>
      <c r="G29" s="486"/>
      <c r="H29" s="486"/>
      <c r="I29" s="486"/>
      <c r="J29" s="486"/>
      <c r="K29" s="487"/>
      <c r="L29" s="314"/>
      <c r="M29" s="303"/>
      <c r="N29" s="303"/>
      <c r="O29" s="303"/>
      <c r="P29" s="304"/>
    </row>
    <row r="32" spans="1:8" ht="11.25">
      <c r="A32" s="305" t="s">
        <v>507</v>
      </c>
      <c r="B32" s="306"/>
      <c r="H32" s="305" t="s">
        <v>503</v>
      </c>
    </row>
    <row r="33" ht="11.25">
      <c r="F33" s="308"/>
    </row>
  </sheetData>
  <sheetProtection/>
  <mergeCells count="16">
    <mergeCell ref="A1:P1"/>
    <mergeCell ref="A2:P3"/>
    <mergeCell ref="A5:P5"/>
    <mergeCell ref="A6:P6"/>
    <mergeCell ref="L12:N12"/>
    <mergeCell ref="E16:E17"/>
    <mergeCell ref="F16:K16"/>
    <mergeCell ref="L16:P16"/>
    <mergeCell ref="O12:P12"/>
    <mergeCell ref="A29:K29"/>
    <mergeCell ref="A27:K27"/>
    <mergeCell ref="A28:K28"/>
    <mergeCell ref="A16:A17"/>
    <mergeCell ref="B16:B17"/>
    <mergeCell ref="C16:C17"/>
    <mergeCell ref="D16:D17"/>
  </mergeCells>
  <printOptions horizontalCentered="1"/>
  <pageMargins left="0.1968503937007874" right="0.1968503937007874" top="0.7874015748031497" bottom="0.3937007874015748" header="0.5118110236220472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ritvars</cp:lastModifiedBy>
  <cp:lastPrinted>2013-03-14T07:07:42Z</cp:lastPrinted>
  <dcterms:created xsi:type="dcterms:W3CDTF">2004-03-25T12:48:46Z</dcterms:created>
  <dcterms:modified xsi:type="dcterms:W3CDTF">2013-03-20T08:19:01Z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